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 codeName="{899C9086-67A9-5B14-2C2D-5A8001700F7D}"/>
  <workbookPr codeName="ThisWorkbook"/>
  <mc:AlternateContent>
    <mc:Choice Requires="x15">
      <x15ac:absPath xmlns:x15ac="http://schemas.microsoft.com/office/spreadsheetml/2010/11/ac" url="\\Filesv\共有\★保険料課\02 保険料担当\◎01庶務、その他\試算シート\令和7年度\HP掲載用(タブ非表示ver)\"/>
    </mc:Choice>
  </mc:AlternateContent>
  <xr:revisionPtr revIDLastSave="0" documentId="13_ncr:1_{67763B84-32E3-4C6F-A8E4-FA27C3BD835F}" xr6:coauthVersionLast="47" xr6:coauthVersionMax="47" xr10:uidLastSave="{00000000-0000-0000-0000-000000000000}"/>
  <workbookProtection workbookAlgorithmName="SHA-512" workbookHashValue="ReBHA07Sh6k097HMCBu2ZnncERKMtUUYDY3W+AlT2QxyKl2QS1SE/y8bUBEgOKnDafSOHx738vR5lxnvLKogzA==" workbookSaltValue="pGsmwGXdAaLm/uvsa4qrsA==" workbookSpinCount="100000" lockStructure="1"/>
  <bookViews>
    <workbookView xWindow="-120" yWindow="-120" windowWidth="20730" windowHeight="11160" xr2:uid="{00000000-000D-0000-FFFF-FFFF00000000}"/>
  </bookViews>
  <sheets>
    <sheet name="入力" sheetId="2" r:id="rId1"/>
    <sheet name="設定" sheetId="1" state="hidden" r:id="rId2"/>
    <sheet name="年金条件式" sheetId="8" state="hidden" r:id="rId3"/>
    <sheet name="給与所得" sheetId="4" state="hidden" r:id="rId4"/>
    <sheet name="資格取得月" sheetId="7" state="hidden" r:id="rId5"/>
    <sheet name="計算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I59" i="2" l="1"/>
  <c r="F37" i="8"/>
  <c r="F29" i="8"/>
  <c r="F20" i="8"/>
  <c r="F12" i="8"/>
  <c r="C57" i="4" l="1"/>
  <c r="C56" i="4"/>
  <c r="C55" i="4"/>
  <c r="C54" i="4"/>
  <c r="C42" i="4"/>
  <c r="C41" i="4"/>
  <c r="C40" i="4"/>
  <c r="C39" i="4"/>
  <c r="C27" i="4"/>
  <c r="C26" i="4"/>
  <c r="C25" i="4"/>
  <c r="C24" i="4"/>
  <c r="C12" i="4"/>
  <c r="C11" i="4"/>
  <c r="C10" i="4"/>
  <c r="C9" i="4"/>
  <c r="F21" i="8" l="1"/>
  <c r="M41" i="8"/>
  <c r="M40" i="8"/>
  <c r="M39" i="8"/>
  <c r="M38" i="8"/>
  <c r="M33" i="8"/>
  <c r="M32" i="8"/>
  <c r="M31" i="8"/>
  <c r="M30" i="8"/>
  <c r="M24" i="8"/>
  <c r="M23" i="8"/>
  <c r="M22" i="8"/>
  <c r="M21" i="8"/>
  <c r="M16" i="8"/>
  <c r="M15" i="8"/>
  <c r="M14" i="8"/>
  <c r="M13" i="8"/>
  <c r="F41" i="8"/>
  <c r="F40" i="8"/>
  <c r="F39" i="8"/>
  <c r="F38" i="8"/>
  <c r="F33" i="8"/>
  <c r="F32" i="8"/>
  <c r="F31" i="8"/>
  <c r="F30" i="8"/>
  <c r="F24" i="8"/>
  <c r="F23" i="8"/>
  <c r="F22" i="8"/>
  <c r="F16" i="8"/>
  <c r="F15" i="8"/>
  <c r="F14" i="8"/>
  <c r="F13" i="8"/>
  <c r="C59" i="4" l="1"/>
  <c r="C44" i="4"/>
  <c r="C29" i="4"/>
  <c r="C14" i="4"/>
  <c r="C4" i="4"/>
  <c r="E2" i="1" s="1"/>
  <c r="C49" i="4"/>
  <c r="C34" i="4"/>
  <c r="C19" i="4"/>
  <c r="L33" i="8" l="1"/>
  <c r="K33" i="8"/>
  <c r="E33" i="8"/>
  <c r="D33" i="8"/>
  <c r="L32" i="8"/>
  <c r="K32" i="8"/>
  <c r="E32" i="8"/>
  <c r="D32" i="8"/>
  <c r="L31" i="8"/>
  <c r="K31" i="8"/>
  <c r="E31" i="8"/>
  <c r="D31" i="8"/>
  <c r="L30" i="8"/>
  <c r="K30" i="8"/>
  <c r="E30" i="8"/>
  <c r="D30" i="8"/>
  <c r="M29" i="8"/>
  <c r="L29" i="8"/>
  <c r="K29" i="8"/>
  <c r="E29" i="8"/>
  <c r="D29" i="8"/>
  <c r="D16" i="8"/>
  <c r="D15" i="8"/>
  <c r="D14" i="8"/>
  <c r="D13" i="8"/>
  <c r="D12" i="8"/>
  <c r="D24" i="8"/>
  <c r="D23" i="8"/>
  <c r="D22" i="8"/>
  <c r="D21" i="8"/>
  <c r="D20" i="8"/>
  <c r="L24" i="8"/>
  <c r="K24" i="8"/>
  <c r="E24" i="8"/>
  <c r="L23" i="8"/>
  <c r="K23" i="8"/>
  <c r="E23" i="8"/>
  <c r="L22" i="8"/>
  <c r="K22" i="8"/>
  <c r="E22" i="8"/>
  <c r="L21" i="8"/>
  <c r="K21" i="8"/>
  <c r="E21" i="8"/>
  <c r="M20" i="8"/>
  <c r="L20" i="8"/>
  <c r="K20" i="8"/>
  <c r="E20" i="8"/>
  <c r="L16" i="8"/>
  <c r="K16" i="8"/>
  <c r="E16" i="8"/>
  <c r="L15" i="8"/>
  <c r="K15" i="8"/>
  <c r="E15" i="8"/>
  <c r="L14" i="8"/>
  <c r="K14" i="8"/>
  <c r="E14" i="8"/>
  <c r="L13" i="8"/>
  <c r="K13" i="8"/>
  <c r="E13" i="8"/>
  <c r="M12" i="8"/>
  <c r="L12" i="8"/>
  <c r="K12" i="8"/>
  <c r="E12" i="8"/>
  <c r="E6" i="1" l="1"/>
  <c r="E5" i="1"/>
  <c r="D6" i="1"/>
  <c r="D5" i="1"/>
  <c r="F2" i="1"/>
  <c r="E5" i="8" l="1"/>
  <c r="E4" i="8"/>
  <c r="E3" i="8"/>
  <c r="M37" i="8" l="1"/>
  <c r="L37" i="8"/>
  <c r="K37" i="8"/>
  <c r="L41" i="8"/>
  <c r="K41" i="8"/>
  <c r="L40" i="8"/>
  <c r="K40" i="8"/>
  <c r="L39" i="8"/>
  <c r="K39" i="8"/>
  <c r="L38" i="8"/>
  <c r="K38" i="8"/>
  <c r="E41" i="8"/>
  <c r="D41" i="8"/>
  <c r="E40" i="8"/>
  <c r="D40" i="8"/>
  <c r="E39" i="8"/>
  <c r="D39" i="8"/>
  <c r="E38" i="8"/>
  <c r="D38" i="8"/>
  <c r="E37" i="8"/>
  <c r="D37" i="8"/>
  <c r="E6" i="8" l="1"/>
  <c r="V50" i="2" l="1"/>
  <c r="C2" i="1" l="1"/>
  <c r="B9" i="1" l="1"/>
  <c r="B6" i="1" l="1"/>
  <c r="B5" i="1"/>
  <c r="A14" i="3" l="1"/>
  <c r="E9" i="1" l="1"/>
  <c r="D9" i="1"/>
  <c r="D4" i="8" l="1"/>
  <c r="C4" i="8"/>
  <c r="D5" i="8"/>
  <c r="C5" i="8"/>
  <c r="D3" i="8"/>
  <c r="C3" i="8"/>
  <c r="D6" i="8"/>
  <c r="C6" i="8"/>
  <c r="F3" i="8" l="1"/>
  <c r="I3" i="8" s="1"/>
  <c r="F5" i="8"/>
  <c r="I5" i="8" s="1"/>
  <c r="F6" i="8"/>
  <c r="I6" i="8" s="1"/>
  <c r="F4" i="8"/>
  <c r="I4" i="8" s="1"/>
  <c r="L3" i="3"/>
  <c r="C5" i="1" l="1"/>
  <c r="C9" i="1"/>
  <c r="I55" i="2"/>
  <c r="Y51" i="2" s="1"/>
  <c r="G5" i="1" l="1"/>
  <c r="H5" i="1" s="1"/>
  <c r="I5" i="1" s="1"/>
  <c r="B8" i="3" s="1"/>
  <c r="G9" i="1"/>
  <c r="H9" i="1" s="1"/>
  <c r="I9" i="1" s="1"/>
  <c r="B10" i="3" s="1"/>
  <c r="F5" i="1"/>
  <c r="D2" i="1"/>
  <c r="C6" i="1"/>
  <c r="F9" i="1"/>
  <c r="J5" i="1" l="1"/>
  <c r="H2" i="1"/>
  <c r="I2" i="1" s="1"/>
  <c r="J9" i="1"/>
  <c r="G2" i="1"/>
  <c r="B3" i="3" s="1"/>
  <c r="C3" i="3" s="1"/>
  <c r="E3" i="3" s="1"/>
  <c r="G6" i="1"/>
  <c r="J6" i="1" s="1"/>
  <c r="F6" i="1"/>
  <c r="G3" i="3" l="1"/>
  <c r="I3" i="3" s="1"/>
  <c r="K2" i="1"/>
  <c r="B14" i="3" s="1"/>
  <c r="H6" i="1"/>
  <c r="I6" i="1" s="1"/>
  <c r="B9" i="3" s="1"/>
  <c r="J2" i="1"/>
  <c r="B18" i="3" l="1"/>
  <c r="B19" i="3"/>
  <c r="B7" i="3"/>
  <c r="H12" i="1"/>
  <c r="B17" i="3"/>
  <c r="I58" i="2"/>
  <c r="B11" i="3" l="1"/>
  <c r="C17" i="3" s="1"/>
  <c r="C18" i="3" l="1"/>
  <c r="C19" i="3" s="1"/>
  <c r="D17" i="3" l="1"/>
  <c r="J3" i="3" l="1"/>
  <c r="K3" i="3" s="1"/>
  <c r="I53" i="2"/>
  <c r="J53" i="2" s="1"/>
  <c r="M3" i="3" l="1"/>
  <c r="N3" i="3" s="1"/>
  <c r="Q51" i="2" s="1"/>
  <c r="I56" i="2"/>
</calcChain>
</file>

<file path=xl/sharedStrings.xml><?xml version="1.0" encoding="utf-8"?>
<sst xmlns="http://schemas.openxmlformats.org/spreadsheetml/2006/main" count="218" uniqueCount="129">
  <si>
    <t>世帯主</t>
    <rPh sb="0" eb="3">
      <t>セタイヌシ</t>
    </rPh>
    <phoneticPr fontId="4"/>
  </si>
  <si>
    <t>６５歳以上</t>
    <rPh sb="2" eb="5">
      <t>サイイジョウ</t>
    </rPh>
    <phoneticPr fontId="4"/>
  </si>
  <si>
    <t>６５歳未満</t>
    <rPh sb="2" eb="5">
      <t>サイミマン</t>
    </rPh>
    <phoneticPr fontId="4"/>
  </si>
  <si>
    <t>世帯主</t>
    <rPh sb="0" eb="3">
      <t>セタイヌシ</t>
    </rPh>
    <phoneticPr fontId="3"/>
  </si>
  <si>
    <t>給与収入</t>
    <rPh sb="0" eb="2">
      <t>キュウヨ</t>
    </rPh>
    <rPh sb="2" eb="4">
      <t>シュウニュウ</t>
    </rPh>
    <phoneticPr fontId="3"/>
  </si>
  <si>
    <t>給与所得</t>
    <rPh sb="0" eb="2">
      <t>キュウヨ</t>
    </rPh>
    <rPh sb="2" eb="4">
      <t>ショトク</t>
    </rPh>
    <phoneticPr fontId="3"/>
  </si>
  <si>
    <t>所得合計</t>
    <rPh sb="0" eb="2">
      <t>ショトク</t>
    </rPh>
    <rPh sb="2" eb="4">
      <t>ゴウケイ</t>
    </rPh>
    <phoneticPr fontId="3"/>
  </si>
  <si>
    <t>賦課のもとと
なる所得金額</t>
    <rPh sb="0" eb="2">
      <t>フカ</t>
    </rPh>
    <rPh sb="9" eb="11">
      <t>ショトク</t>
    </rPh>
    <rPh sb="11" eb="13">
      <t>キンガク</t>
    </rPh>
    <phoneticPr fontId="3"/>
  </si>
  <si>
    <t>所得割率</t>
    <rPh sb="0" eb="2">
      <t>ショトク</t>
    </rPh>
    <rPh sb="2" eb="3">
      <t>ワリ</t>
    </rPh>
    <rPh sb="3" eb="4">
      <t>リツ</t>
    </rPh>
    <phoneticPr fontId="3"/>
  </si>
  <si>
    <t>均等割額</t>
    <rPh sb="0" eb="3">
      <t>キントウワリ</t>
    </rPh>
    <rPh sb="3" eb="4">
      <t>ガク</t>
    </rPh>
    <phoneticPr fontId="3"/>
  </si>
  <si>
    <t>所得割額</t>
    <rPh sb="0" eb="2">
      <t>ショトク</t>
    </rPh>
    <rPh sb="2" eb="3">
      <t>ワリ</t>
    </rPh>
    <rPh sb="3" eb="4">
      <t>ガク</t>
    </rPh>
    <phoneticPr fontId="3"/>
  </si>
  <si>
    <t>賦課限度額</t>
    <rPh sb="0" eb="2">
      <t>フカ</t>
    </rPh>
    <rPh sb="2" eb="4">
      <t>ゲンド</t>
    </rPh>
    <rPh sb="4" eb="5">
      <t>ガク</t>
    </rPh>
    <phoneticPr fontId="3"/>
  </si>
  <si>
    <t>限度超過額</t>
    <rPh sb="0" eb="2">
      <t>ゲンド</t>
    </rPh>
    <rPh sb="2" eb="4">
      <t>チョウカ</t>
    </rPh>
    <rPh sb="4" eb="5">
      <t>ガク</t>
    </rPh>
    <phoneticPr fontId="3"/>
  </si>
  <si>
    <t>均等割
軽減額</t>
    <rPh sb="0" eb="3">
      <t>キントウワリ</t>
    </rPh>
    <rPh sb="4" eb="6">
      <t>ケイゲン</t>
    </rPh>
    <rPh sb="6" eb="7">
      <t>ガク</t>
    </rPh>
    <phoneticPr fontId="3"/>
  </si>
  <si>
    <t>5割軽減</t>
    <rPh sb="1" eb="2">
      <t>ワリ</t>
    </rPh>
    <rPh sb="2" eb="4">
      <t>ケイゲン</t>
    </rPh>
    <phoneticPr fontId="3"/>
  </si>
  <si>
    <t>2割軽減</t>
    <rPh sb="1" eb="2">
      <t>ワリ</t>
    </rPh>
    <rPh sb="2" eb="4">
      <t>ケイゲン</t>
    </rPh>
    <phoneticPr fontId="3"/>
  </si>
  <si>
    <t>基準額</t>
    <rPh sb="0" eb="2">
      <t>キジュン</t>
    </rPh>
    <rPh sb="2" eb="3">
      <t>ガク</t>
    </rPh>
    <phoneticPr fontId="3"/>
  </si>
  <si>
    <t>世帯の
被保険者数</t>
    <rPh sb="0" eb="2">
      <t>セタイ</t>
    </rPh>
    <rPh sb="4" eb="8">
      <t>ヒホケンシャ</t>
    </rPh>
    <rPh sb="8" eb="9">
      <t>スウ</t>
    </rPh>
    <phoneticPr fontId="3"/>
  </si>
  <si>
    <t>軽減の適用</t>
    <rPh sb="0" eb="2">
      <t>ケイゲン</t>
    </rPh>
    <rPh sb="3" eb="5">
      <t>テキヨウ</t>
    </rPh>
    <phoneticPr fontId="3"/>
  </si>
  <si>
    <t>合計</t>
    <rPh sb="0" eb="2">
      <t>ゴウケイ</t>
    </rPh>
    <phoneticPr fontId="3"/>
  </si>
  <si>
    <t>軽減割合</t>
    <rPh sb="0" eb="2">
      <t>ケイゲン</t>
    </rPh>
    <rPh sb="2" eb="4">
      <t>ワリアイ</t>
    </rPh>
    <phoneticPr fontId="3"/>
  </si>
  <si>
    <t>年　　　間
保険料額</t>
    <rPh sb="0" eb="1">
      <t>ネン</t>
    </rPh>
    <rPh sb="4" eb="5">
      <t>カン</t>
    </rPh>
    <rPh sb="6" eb="9">
      <t>ホケンリョウ</t>
    </rPh>
    <rPh sb="9" eb="10">
      <t>ガク</t>
    </rPh>
    <phoneticPr fontId="3"/>
  </si>
  <si>
    <t>月数</t>
    <rPh sb="0" eb="2">
      <t>ツキスウ</t>
    </rPh>
    <phoneticPr fontId="3"/>
  </si>
  <si>
    <t>月割減額</t>
    <rPh sb="0" eb="2">
      <t>ツキワリ</t>
    </rPh>
    <rPh sb="2" eb="4">
      <t>ゲンガク</t>
    </rPh>
    <phoneticPr fontId="3"/>
  </si>
  <si>
    <t>決　　　定
保険料額</t>
    <rPh sb="0" eb="1">
      <t>ケッ</t>
    </rPh>
    <rPh sb="4" eb="5">
      <t>サダム</t>
    </rPh>
    <rPh sb="6" eb="9">
      <t>ホケンリョウ</t>
    </rPh>
    <rPh sb="9" eb="10">
      <t>ガク</t>
    </rPh>
    <phoneticPr fontId="3"/>
  </si>
  <si>
    <t>【軽減判定所得の計算】</t>
    <rPh sb="8" eb="10">
      <t>ケイサン</t>
    </rPh>
    <phoneticPr fontId="3"/>
  </si>
  <si>
    <t>軽減判定所得</t>
    <phoneticPr fontId="3"/>
  </si>
  <si>
    <t>資格取得月</t>
    <rPh sb="0" eb="2">
      <t>シカク</t>
    </rPh>
    <rPh sb="2" eb="4">
      <t>シュトク</t>
    </rPh>
    <rPh sb="4" eb="5">
      <t>ツキ</t>
    </rPh>
    <phoneticPr fontId="3"/>
  </si>
  <si>
    <t>資格取得月</t>
    <rPh sb="0" eb="2">
      <t>シカク</t>
    </rPh>
    <rPh sb="2" eb="4">
      <t>シュトク</t>
    </rPh>
    <rPh sb="4" eb="5">
      <t>ツキ</t>
    </rPh>
    <phoneticPr fontId="3"/>
  </si>
  <si>
    <t>年金収入（年額）</t>
    <rPh sb="0" eb="2">
      <t>ネンキン</t>
    </rPh>
    <rPh sb="2" eb="4">
      <t>シュウニュウ</t>
    </rPh>
    <rPh sb="5" eb="7">
      <t>ネンガク</t>
    </rPh>
    <phoneticPr fontId="4"/>
  </si>
  <si>
    <t>給与収入（年額）</t>
    <rPh sb="0" eb="2">
      <t>キュウヨ</t>
    </rPh>
    <rPh sb="2" eb="4">
      <t>シュウニュウ</t>
    </rPh>
    <rPh sb="5" eb="7">
      <t>ネンガク</t>
    </rPh>
    <phoneticPr fontId="4"/>
  </si>
  <si>
    <t>保険料試算</t>
    <rPh sb="0" eb="3">
      <t>ホケンリョウ</t>
    </rPh>
    <rPh sb="3" eb="5">
      <t>シサン</t>
    </rPh>
    <phoneticPr fontId="4"/>
  </si>
  <si>
    <t>入力情報のクリア</t>
    <rPh sb="0" eb="2">
      <t>ニュウリョク</t>
    </rPh>
    <rPh sb="2" eb="4">
      <t>ジョウホウ</t>
    </rPh>
    <phoneticPr fontId="4"/>
  </si>
  <si>
    <t>円</t>
    <rPh sb="0" eb="1">
      <t>エン</t>
    </rPh>
    <phoneticPr fontId="4"/>
  </si>
  <si>
    <t>月</t>
    <rPh sb="0" eb="1">
      <t>ツキ</t>
    </rPh>
    <phoneticPr fontId="4"/>
  </si>
  <si>
    <t>割</t>
    <rPh sb="0" eb="1">
      <t>ワリ</t>
    </rPh>
    <phoneticPr fontId="4"/>
  </si>
  <si>
    <t>です。</t>
    <phoneticPr fontId="4"/>
  </si>
  <si>
    <t>被保険者</t>
    <rPh sb="0" eb="4">
      <t>ヒホケンシャ</t>
    </rPh>
    <phoneticPr fontId="3"/>
  </si>
  <si>
    <t>被保険者</t>
    <rPh sb="0" eb="4">
      <t>ヒホケンシャ</t>
    </rPh>
    <phoneticPr fontId="4"/>
  </si>
  <si>
    <t>被保険者</t>
    <rPh sb="0" eb="4">
      <t>ヒホケンシャ</t>
    </rPh>
    <phoneticPr fontId="3"/>
  </si>
  <si>
    <t>家族１</t>
    <rPh sb="0" eb="2">
      <t>カゾク</t>
    </rPh>
    <phoneticPr fontId="3"/>
  </si>
  <si>
    <t>家族２</t>
    <rPh sb="0" eb="2">
      <t>カゾク</t>
    </rPh>
    <phoneticPr fontId="3"/>
  </si>
  <si>
    <t>世帯主</t>
    <rPh sb="0" eb="3">
      <t>セタイヌシ</t>
    </rPh>
    <phoneticPr fontId="3"/>
  </si>
  <si>
    <t>年金所得</t>
    <rPh sb="0" eb="2">
      <t>ネンキン</t>
    </rPh>
    <rPh sb="2" eb="4">
      <t>ショトク</t>
    </rPh>
    <phoneticPr fontId="3"/>
  </si>
  <si>
    <t>給与所得</t>
    <rPh sb="0" eb="2">
      <t>キュウヨ</t>
    </rPh>
    <rPh sb="2" eb="4">
      <t>ショトク</t>
    </rPh>
    <phoneticPr fontId="3"/>
  </si>
  <si>
    <t>その他の所得</t>
    <rPh sb="2" eb="3">
      <t>タ</t>
    </rPh>
    <rPh sb="4" eb="6">
      <t>ショトク</t>
    </rPh>
    <phoneticPr fontId="3"/>
  </si>
  <si>
    <t>年齢</t>
    <rPh sb="0" eb="2">
      <t>ネンレイ</t>
    </rPh>
    <phoneticPr fontId="3"/>
  </si>
  <si>
    <t>チェックボックス</t>
    <phoneticPr fontId="3"/>
  </si>
  <si>
    <t>家族１</t>
    <rPh sb="0" eb="2">
      <t>カゾク</t>
    </rPh>
    <phoneticPr fontId="4"/>
  </si>
  <si>
    <t>家族２</t>
    <rPh sb="0" eb="2">
      <t>カゾク</t>
    </rPh>
    <phoneticPr fontId="4"/>
  </si>
  <si>
    <t>算出
保険料額</t>
    <rPh sb="0" eb="1">
      <t>サン</t>
    </rPh>
    <rPh sb="1" eb="2">
      <t>デ</t>
    </rPh>
    <rPh sb="3" eb="6">
      <t>ホケンリョウ</t>
    </rPh>
    <rPh sb="6" eb="7">
      <t>ガク</t>
    </rPh>
    <phoneticPr fontId="3"/>
  </si>
  <si>
    <t>【保険料算定】</t>
    <rPh sb="1" eb="4">
      <t>ホケンリョウ</t>
    </rPh>
    <rPh sb="4" eb="6">
      <t>サンテイ</t>
    </rPh>
    <phoneticPr fontId="3"/>
  </si>
  <si>
    <t>7割軽減</t>
    <rPh sb="1" eb="2">
      <t>ワリ</t>
    </rPh>
    <rPh sb="2" eb="4">
      <t>ケイゲン</t>
    </rPh>
    <phoneticPr fontId="3"/>
  </si>
  <si>
    <t>7</t>
    <phoneticPr fontId="3"/>
  </si>
  <si>
    <t>5</t>
    <phoneticPr fontId="3"/>
  </si>
  <si>
    <t>2</t>
    <phoneticPr fontId="3"/>
  </si>
  <si>
    <t>―</t>
    <phoneticPr fontId="3"/>
  </si>
  <si>
    <t>備考</t>
    <rPh sb="0" eb="2">
      <t>ビコウ</t>
    </rPh>
    <phoneticPr fontId="4"/>
  </si>
  <si>
    <t>)</t>
    <phoneticPr fontId="4"/>
  </si>
  <si>
    <t>ヶ月分</t>
    <rPh sb="1" eb="2">
      <t>ゲツ</t>
    </rPh>
    <rPh sb="2" eb="3">
      <t>ブン</t>
    </rPh>
    <phoneticPr fontId="4"/>
  </si>
  <si>
    <t>円</t>
    <phoneticPr fontId="4"/>
  </si>
  <si>
    <t>(</t>
    <phoneticPr fontId="4"/>
  </si>
  <si>
    <t>軽減割合</t>
    <phoneticPr fontId="4"/>
  </si>
  <si>
    <t>賦課月数➀</t>
    <rPh sb="0" eb="2">
      <t>フカ</t>
    </rPh>
    <rPh sb="2" eb="4">
      <t>ゲッスウ</t>
    </rPh>
    <phoneticPr fontId="4"/>
  </si>
  <si>
    <t>均等割額②</t>
    <rPh sb="0" eb="3">
      <t>キントウワリ</t>
    </rPh>
    <rPh sb="3" eb="4">
      <t>ガク</t>
    </rPh>
    <phoneticPr fontId="4"/>
  </si>
  <si>
    <t>所得割額③</t>
    <rPh sb="0" eb="2">
      <t>ショトク</t>
    </rPh>
    <rPh sb="2" eb="3">
      <t>ワリ</t>
    </rPh>
    <rPh sb="3" eb="4">
      <t>ガク</t>
    </rPh>
    <phoneticPr fontId="4"/>
  </si>
  <si>
    <t>所得割率④</t>
    <rPh sb="0" eb="2">
      <t>ショトク</t>
    </rPh>
    <rPh sb="2" eb="3">
      <t>ワリ</t>
    </rPh>
    <rPh sb="3" eb="4">
      <t>リツ</t>
    </rPh>
    <phoneticPr fontId="4"/>
  </si>
  <si>
    <t>被保険者となった月</t>
    <rPh sb="0" eb="4">
      <t>ヒホケンシャ</t>
    </rPh>
    <rPh sb="8" eb="9">
      <t>ツキ</t>
    </rPh>
    <phoneticPr fontId="4"/>
  </si>
  <si>
    <r>
      <rPr>
        <b/>
        <sz val="16"/>
        <color rgb="FF0070C0"/>
        <rFont val="Meiryo UI"/>
        <family val="3"/>
        <charset val="128"/>
      </rPr>
      <t>■</t>
    </r>
    <r>
      <rPr>
        <b/>
        <sz val="16"/>
        <rFont val="Meiryo UI"/>
        <family val="3"/>
        <charset val="128"/>
      </rPr>
      <t>試算する被保険者の情報</t>
    </r>
    <rPh sb="1" eb="3">
      <t>シサン</t>
    </rPh>
    <rPh sb="5" eb="9">
      <t>ヒホケンシャ</t>
    </rPh>
    <rPh sb="10" eb="12">
      <t>ジョウホウ</t>
    </rPh>
    <phoneticPr fontId="4"/>
  </si>
  <si>
    <t xml:space="preserve">  その他の所得（年額）</t>
    <rPh sb="4" eb="5">
      <t>ホカ</t>
    </rPh>
    <rPh sb="6" eb="8">
      <t>ショトク</t>
    </rPh>
    <rPh sb="9" eb="11">
      <t>ネンガク</t>
    </rPh>
    <phoneticPr fontId="4"/>
  </si>
  <si>
    <r>
      <rPr>
        <b/>
        <sz val="16"/>
        <color rgb="FF00B050"/>
        <rFont val="Meiryo UI"/>
        <family val="3"/>
        <charset val="128"/>
      </rPr>
      <t>■</t>
    </r>
    <r>
      <rPr>
        <b/>
        <sz val="16"/>
        <rFont val="Meiryo UI"/>
        <family val="3"/>
        <charset val="128"/>
      </rPr>
      <t>同じ世帯の他の被保険者情報１</t>
    </r>
    <rPh sb="1" eb="2">
      <t>オナ</t>
    </rPh>
    <rPh sb="3" eb="5">
      <t>セタイ</t>
    </rPh>
    <phoneticPr fontId="4"/>
  </si>
  <si>
    <r>
      <rPr>
        <b/>
        <sz val="16"/>
        <color rgb="FF00B050"/>
        <rFont val="Meiryo UI"/>
        <family val="3"/>
        <charset val="128"/>
      </rPr>
      <t>■</t>
    </r>
    <r>
      <rPr>
        <b/>
        <sz val="16"/>
        <rFont val="Meiryo UI"/>
        <family val="3"/>
        <charset val="128"/>
      </rPr>
      <t>同じ世帯の他の被保険者情報２</t>
    </r>
    <rPh sb="1" eb="2">
      <t>オナ</t>
    </rPh>
    <rPh sb="3" eb="5">
      <t>セタイ</t>
    </rPh>
    <phoneticPr fontId="4"/>
  </si>
  <si>
    <r>
      <rPr>
        <b/>
        <sz val="16"/>
        <color rgb="FFFF5050"/>
        <rFont val="Meiryo UI"/>
        <family val="3"/>
        <charset val="128"/>
      </rPr>
      <t>■</t>
    </r>
    <r>
      <rPr>
        <b/>
        <sz val="16"/>
        <rFont val="Meiryo UI"/>
        <family val="3"/>
        <charset val="128"/>
      </rPr>
      <t>世帯主情報</t>
    </r>
    <rPh sb="1" eb="4">
      <t>セタイヌシ</t>
    </rPh>
    <rPh sb="4" eb="6">
      <t>ジョウホウ</t>
    </rPh>
    <phoneticPr fontId="4"/>
  </si>
  <si>
    <r>
      <t xml:space="preserve">    入力等が終わりましたら、</t>
    </r>
    <r>
      <rPr>
        <b/>
        <sz val="14"/>
        <color rgb="FFFF0000"/>
        <rFont val="Meiryo UI"/>
        <family val="3"/>
        <charset val="128"/>
      </rPr>
      <t>ここをクリック</t>
    </r>
    <r>
      <rPr>
        <sz val="14"/>
        <color theme="1"/>
        <rFont val="Meiryo UI"/>
        <family val="3"/>
        <charset val="128"/>
      </rPr>
      <t>してください。</t>
    </r>
    <phoneticPr fontId="4"/>
  </si>
  <si>
    <t>世帯主が被保険者以外の場合はチェックし、右記を入力</t>
    <rPh sb="0" eb="3">
      <t>セタイヌシ</t>
    </rPh>
    <rPh sb="4" eb="8">
      <t>ヒホケンシャ</t>
    </rPh>
    <rPh sb="8" eb="10">
      <t>イガイ</t>
    </rPh>
    <rPh sb="11" eb="13">
      <t>バアイ</t>
    </rPh>
    <rPh sb="20" eb="22">
      <t>ウキ</t>
    </rPh>
    <rPh sb="23" eb="25">
      <t>ニュウリョク</t>
    </rPh>
    <phoneticPr fontId="4"/>
  </si>
  <si>
    <t>被保険者の所得に応じて負担いただく額です。</t>
    <rPh sb="11" eb="13">
      <t>フタン</t>
    </rPh>
    <rPh sb="17" eb="18">
      <t>ガク</t>
    </rPh>
    <phoneticPr fontId="4"/>
  </si>
  <si>
    <t>Q37</t>
    <phoneticPr fontId="3"/>
  </si>
  <si>
    <t>Q32</t>
    <phoneticPr fontId="3"/>
  </si>
  <si>
    <t>給与収入</t>
  </si>
  <si>
    <t>給与所得</t>
  </si>
  <si>
    <t>Q42</t>
    <phoneticPr fontId="3"/>
  </si>
  <si>
    <t>S47</t>
    <phoneticPr fontId="3"/>
  </si>
  <si>
    <t>年齢65以上</t>
    <rPh sb="0" eb="2">
      <t>ネンレイ</t>
    </rPh>
    <rPh sb="4" eb="6">
      <t>イジョウ</t>
    </rPh>
    <phoneticPr fontId="3"/>
  </si>
  <si>
    <t>判定</t>
    <rPh sb="0" eb="2">
      <t>ハンテイ</t>
    </rPh>
    <phoneticPr fontId="3"/>
  </si>
  <si>
    <t>６５歳以上</t>
    <rPh sb="2" eb="3">
      <t>サイ</t>
    </rPh>
    <rPh sb="3" eb="5">
      <t>イジョウ</t>
    </rPh>
    <phoneticPr fontId="3"/>
  </si>
  <si>
    <t>年金所得</t>
    <rPh sb="0" eb="2">
      <t>ネンキン</t>
    </rPh>
    <rPh sb="2" eb="4">
      <t>ショトク</t>
    </rPh>
    <phoneticPr fontId="3"/>
  </si>
  <si>
    <t>入力!$I$37</t>
    <phoneticPr fontId="3"/>
  </si>
  <si>
    <t>入力!$I$42</t>
    <phoneticPr fontId="3"/>
  </si>
  <si>
    <t>入力!$L$47</t>
    <phoneticPr fontId="3"/>
  </si>
  <si>
    <t>入力!$I$32</t>
    <phoneticPr fontId="3"/>
  </si>
  <si>
    <t>所得金額調整控除額</t>
  </si>
  <si>
    <t>高齢者特別控除</t>
    <rPh sb="0" eb="3">
      <t>コウレイシャ</t>
    </rPh>
    <rPh sb="3" eb="5">
      <t>トクベツ</t>
    </rPh>
    <rPh sb="5" eb="7">
      <t>コウジョ</t>
    </rPh>
    <phoneticPr fontId="3"/>
  </si>
  <si>
    <t>軽減判定所得1</t>
    <rPh sb="0" eb="2">
      <t>ケイゲン</t>
    </rPh>
    <rPh sb="2" eb="4">
      <t>ハンテイ</t>
    </rPh>
    <rPh sb="4" eb="6">
      <t>ショトク</t>
    </rPh>
    <phoneticPr fontId="3"/>
  </si>
  <si>
    <t>軽減判定所得2</t>
    <rPh sb="0" eb="2">
      <t>ケイゲン</t>
    </rPh>
    <rPh sb="2" eb="4">
      <t>ハンテイ</t>
    </rPh>
    <rPh sb="4" eb="6">
      <t>ショトク</t>
    </rPh>
    <phoneticPr fontId="3"/>
  </si>
  <si>
    <t>軽減判定所得3</t>
    <rPh sb="0" eb="2">
      <t>ケイゲン</t>
    </rPh>
    <rPh sb="2" eb="4">
      <t>ハンテイ</t>
    </rPh>
    <rPh sb="4" eb="6">
      <t>ショトク</t>
    </rPh>
    <phoneticPr fontId="3"/>
  </si>
  <si>
    <t>軽減判定所得(計)</t>
    <rPh sb="0" eb="2">
      <t>ケイゲン</t>
    </rPh>
    <rPh sb="2" eb="4">
      <t>ハンテイ</t>
    </rPh>
    <rPh sb="4" eb="6">
      <t>ショトク</t>
    </rPh>
    <rPh sb="7" eb="8">
      <t>ケイ</t>
    </rPh>
    <phoneticPr fontId="3"/>
  </si>
  <si>
    <t>軽減基準額</t>
    <rPh sb="0" eb="2">
      <t>ケイゲン</t>
    </rPh>
    <rPh sb="2" eb="4">
      <t>キジュン</t>
    </rPh>
    <rPh sb="4" eb="5">
      <t>ガク</t>
    </rPh>
    <phoneticPr fontId="3"/>
  </si>
  <si>
    <t>年金・給与所得者の数</t>
    <rPh sb="0" eb="2">
      <t>ネンキン</t>
    </rPh>
    <rPh sb="3" eb="5">
      <t>キュウヨ</t>
    </rPh>
    <rPh sb="5" eb="7">
      <t>ショトク</t>
    </rPh>
    <rPh sb="7" eb="8">
      <t>シャ</t>
    </rPh>
    <rPh sb="9" eb="10">
      <t>カズ</t>
    </rPh>
    <phoneticPr fontId="3"/>
  </si>
  <si>
    <t>年金給与所得者の数</t>
    <rPh sb="0" eb="2">
      <t>ネンキン</t>
    </rPh>
    <rPh sb="2" eb="4">
      <t>キュウヨ</t>
    </rPh>
    <rPh sb="4" eb="6">
      <t>ショトク</t>
    </rPh>
    <rPh sb="6" eb="7">
      <t>シャ</t>
    </rPh>
    <rPh sb="8" eb="9">
      <t>カズ</t>
    </rPh>
    <phoneticPr fontId="3"/>
  </si>
  <si>
    <t>計算シートにて算出</t>
    <rPh sb="0" eb="2">
      <t>ケイサン</t>
    </rPh>
    <rPh sb="7" eb="9">
      <t>サンシュツ</t>
    </rPh>
    <phoneticPr fontId="3"/>
  </si>
  <si>
    <t>同じ世帯に他の被保険者がいる
場合はチェックし、右記を入力</t>
    <phoneticPr fontId="4"/>
  </si>
  <si>
    <t>7</t>
    <phoneticPr fontId="3"/>
  </si>
  <si>
    <t>世帯の所得によって均等割額の軽減割合が判定
されます(7割,5割,2割または軽減なし)。</t>
    <rPh sb="9" eb="12">
      <t>キントウワ</t>
    </rPh>
    <rPh sb="12" eb="13">
      <t>ガク</t>
    </rPh>
    <rPh sb="16" eb="18">
      <t>ワリアイ</t>
    </rPh>
    <rPh sb="19" eb="21">
      <t>ハンテイ</t>
    </rPh>
    <rPh sb="28" eb="29">
      <t>ワリ</t>
    </rPh>
    <rPh sb="31" eb="32">
      <t>ワリ</t>
    </rPh>
    <rPh sb="34" eb="35">
      <t>ワリ</t>
    </rPh>
    <rPh sb="38" eb="40">
      <t>ケイゲン</t>
    </rPh>
    <phoneticPr fontId="4"/>
  </si>
  <si>
    <t>保険料試算の加入月数です（12月未満の場合
は、月数に応じて、試算結果から減額されます）。</t>
    <rPh sb="15" eb="16">
      <t>ツキ</t>
    </rPh>
    <rPh sb="16" eb="18">
      <t>ミマン</t>
    </rPh>
    <rPh sb="19" eb="21">
      <t>バアイ</t>
    </rPh>
    <rPh sb="24" eb="26">
      <t>ツキスウ</t>
    </rPh>
    <rPh sb="27" eb="28">
      <t>オウ</t>
    </rPh>
    <rPh sb="31" eb="33">
      <t>シサン</t>
    </rPh>
    <rPh sb="33" eb="35">
      <t>ケッカ</t>
    </rPh>
    <phoneticPr fontId="4"/>
  </si>
  <si>
    <t>所得（1,000～2000万円）</t>
    <rPh sb="0" eb="2">
      <t>ショトク</t>
    </rPh>
    <rPh sb="13" eb="15">
      <t>マンエン</t>
    </rPh>
    <phoneticPr fontId="3"/>
  </si>
  <si>
    <t>所得（2,000万円超）</t>
    <rPh sb="0" eb="2">
      <t>ショトク</t>
    </rPh>
    <rPh sb="8" eb="10">
      <t>マンエン</t>
    </rPh>
    <rPh sb="10" eb="11">
      <t>コ</t>
    </rPh>
    <phoneticPr fontId="3"/>
  </si>
  <si>
    <t>所得金額調整控除(軽減判定所得用)</t>
    <rPh sb="9" eb="11">
      <t>ケイゲン</t>
    </rPh>
    <rPh sb="11" eb="13">
      <t>ハンテイ</t>
    </rPh>
    <rPh sb="13" eb="15">
      <t>ショトク</t>
    </rPh>
    <rPh sb="15" eb="16">
      <t>ヨウ</t>
    </rPh>
    <phoneticPr fontId="3"/>
  </si>
  <si>
    <t>(選択してください)</t>
  </si>
  <si>
    <t>％</t>
    <phoneticPr fontId="4"/>
  </si>
  <si>
    <t>(令和7年1月1日時点)</t>
    <rPh sb="6" eb="7">
      <t>ガツ</t>
    </rPh>
    <rPh sb="8" eb="9">
      <t>ニチ</t>
    </rPh>
    <rPh sb="9" eb="11">
      <t>ジテン</t>
    </rPh>
    <phoneticPr fontId="4"/>
  </si>
  <si>
    <r>
      <rPr>
        <b/>
        <sz val="8"/>
        <rFont val="Meiryo UI"/>
        <family val="3"/>
        <charset val="128"/>
      </rPr>
      <t>(</t>
    </r>
    <r>
      <rPr>
        <b/>
        <sz val="9.5"/>
        <rFont val="Meiryo UI"/>
        <family val="3"/>
        <charset val="128"/>
      </rPr>
      <t>令和7年1月1日時点</t>
    </r>
    <r>
      <rPr>
        <b/>
        <sz val="8"/>
        <rFont val="Meiryo UI"/>
        <family val="3"/>
        <charset val="128"/>
      </rPr>
      <t>)</t>
    </r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4"/>
  </si>
  <si>
    <t>令和7年度の均等割額は45,930円です。
※軽減に該当する場合は軽減後の金額です。</t>
    <rPh sb="3" eb="4">
      <t>ネン</t>
    </rPh>
    <rPh sb="6" eb="8">
      <t>キントウ</t>
    </rPh>
    <rPh sb="8" eb="9">
      <t>ワリ</t>
    </rPh>
    <rPh sb="9" eb="10">
      <t>ガク</t>
    </rPh>
    <rPh sb="17" eb="18">
      <t>エン</t>
    </rPh>
    <rPh sb="23" eb="25">
      <t>ケイゲン</t>
    </rPh>
    <rPh sb="26" eb="28">
      <t>ガイトウ</t>
    </rPh>
    <rPh sb="30" eb="32">
      <t>バアイ</t>
    </rPh>
    <rPh sb="33" eb="35">
      <t>ケイゲン</t>
    </rPh>
    <rPh sb="35" eb="36">
      <t>ゴ</t>
    </rPh>
    <rPh sb="37" eb="39">
      <t>キンガク</t>
    </rPh>
    <phoneticPr fontId="4"/>
  </si>
  <si>
    <t xml:space="preserve">所得割率は埼玉県内で均一（9.03％）です。 </t>
    <rPh sb="5" eb="7">
      <t>サイタマ</t>
    </rPh>
    <phoneticPr fontId="4"/>
  </si>
  <si>
    <t>※②と③は、それぞれ10円未満の端数を切捨てます。
※保険料額は、②と③を合計して、100円未満の端数を切捨てます。
※令和7年度の保険料額の限度額は、年額80万円になります。</t>
    <rPh sb="37" eb="39">
      <t>ゴウケイ</t>
    </rPh>
    <rPh sb="45" eb="46">
      <t>エン</t>
    </rPh>
    <rPh sb="46" eb="48">
      <t>ミマン</t>
    </rPh>
    <rPh sb="49" eb="51">
      <t>ハスウ</t>
    </rPh>
    <rPh sb="52" eb="54">
      <t>キリス</t>
    </rPh>
    <rPh sb="76" eb="78">
      <t>ネンガク</t>
    </rPh>
    <phoneticPr fontId="4"/>
  </si>
  <si>
    <t>令和7年3月以前</t>
    <rPh sb="5" eb="6">
      <t>ガツ</t>
    </rPh>
    <rPh sb="6" eb="8">
      <t>イゼン</t>
    </rPh>
    <phoneticPr fontId="4"/>
  </si>
  <si>
    <t>令和7年4月</t>
    <rPh sb="5" eb="6">
      <t>ガツ</t>
    </rPh>
    <phoneticPr fontId="4"/>
  </si>
  <si>
    <t>令和7年5月</t>
    <rPh sb="5" eb="6">
      <t>ガツ</t>
    </rPh>
    <phoneticPr fontId="4"/>
  </si>
  <si>
    <t>令和7年6月</t>
    <phoneticPr fontId="3"/>
  </si>
  <si>
    <t>令和7年7月</t>
    <phoneticPr fontId="3"/>
  </si>
  <si>
    <t>令和7年8月</t>
    <phoneticPr fontId="3"/>
  </si>
  <si>
    <t>令和7年9月</t>
    <phoneticPr fontId="3"/>
  </si>
  <si>
    <t>令和7年10月</t>
    <phoneticPr fontId="3"/>
  </si>
  <si>
    <t>令和7年11月</t>
    <phoneticPr fontId="3"/>
  </si>
  <si>
    <t>令和7年12月</t>
    <phoneticPr fontId="3"/>
  </si>
  <si>
    <t>令和8年1月</t>
    <phoneticPr fontId="3"/>
  </si>
  <si>
    <t>令和8年2月</t>
    <phoneticPr fontId="3"/>
  </si>
  <si>
    <t>令和8年3月</t>
    <phoneticPr fontId="3"/>
  </si>
  <si>
    <t>あなたの令和7年度の保険料額の試算結果は</t>
    <rPh sb="10" eb="13">
      <t>ホケンリョウ</t>
    </rPh>
    <rPh sb="13" eb="14">
      <t>ガク</t>
    </rPh>
    <rPh sb="15" eb="17">
      <t>シサン</t>
    </rPh>
    <rPh sb="17" eb="19">
      <t>ケッカ</t>
    </rPh>
    <phoneticPr fontId="4"/>
  </si>
  <si>
    <t>2024年分</t>
    <rPh sb="4" eb="5">
      <t>ネン</t>
    </rPh>
    <rPh sb="5" eb="6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</si>
</sst>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&quot;月&quot;"/>
    <numFmt numFmtId="177" formatCode="#,##0_ "/>
    <numFmt numFmtId="178" formatCode="0_ "/>
    <numFmt numFmtId="179" formatCode="#,##0_);[Red]\(#,##0\)"/>
    <numFmt numFmtId="180" formatCode="0.0%"/>
    <numFmt numFmtId="181" formatCode="0.0"/>
    <numFmt numFmtId="182" formatCode="0_);[Red]\(0\)"/>
  </numFmts>
  <fonts count="49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9"/>
      <name val="Meiryo UI"/>
      <family val="3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rgb="FFFFC000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2"/>
      <charset val="128"/>
    </font>
    <font>
      <sz val="12"/>
      <name val="Meiryo UI"/>
      <family val="2"/>
      <charset val="128"/>
    </font>
    <font>
      <sz val="16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4"/>
      <name val="Segoe Print"/>
    </font>
    <font>
      <b/>
      <sz val="18"/>
      <color indexed="1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9.5"/>
      <name val="Meiryo UI"/>
      <family val="3"/>
      <charset val="128"/>
    </font>
    <font>
      <b/>
      <sz val="8"/>
      <name val="Meiryo UI"/>
      <family val="3"/>
      <charset val="128"/>
    </font>
    <font>
      <sz val="15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14"/>
      <name val="Meiryo UI"/>
      <family val="3"/>
      <charset val="128"/>
    </font>
    <font>
      <b/>
      <sz val="16"/>
      <color rgb="FF00B050"/>
      <name val="Meiryo UI"/>
      <family val="3"/>
      <charset val="128"/>
    </font>
    <font>
      <b/>
      <sz val="16"/>
      <color rgb="FFFF505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20"/>
      <color theme="1"/>
      <name val="Segoe Print"/>
    </font>
    <font>
      <b/>
      <sz val="13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4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210">
    <xf numFmtId="0" fontId="0" fillId="0" borderId="0" xfId="0">
      <alignment vertical="center"/>
    </xf>
    <xf numFmtId="0" fontId="6" fillId="0" borderId="0" xfId="0" applyFont="1">
      <alignment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7" fillId="3" borderId="0" xfId="0" applyFont="1" applyFill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57" fontId="5" fillId="0" borderId="0" xfId="0" applyNumberFormat="1" applyFont="1">
      <alignment vertical="center"/>
    </xf>
    <xf numFmtId="57" fontId="13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57" fontId="5" fillId="0" borderId="0" xfId="0" applyNumberFormat="1" applyFont="1" applyAlignment="1">
      <alignment horizontal="center" vertical="center" shrinkToFit="1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2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>
      <alignment vertical="center"/>
    </xf>
    <xf numFmtId="57" fontId="10" fillId="0" borderId="0" xfId="0" applyNumberFormat="1" applyFont="1" applyAlignment="1"/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38" fontId="10" fillId="0" borderId="1" xfId="1" applyFont="1" applyBorder="1" applyAlignment="1"/>
    <xf numFmtId="0" fontId="20" fillId="3" borderId="1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1" fillId="3" borderId="1" xfId="0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/>
    </xf>
    <xf numFmtId="38" fontId="10" fillId="0" borderId="1" xfId="1" applyFont="1" applyBorder="1" applyAlignment="1">
      <alignment vertical="center"/>
    </xf>
    <xf numFmtId="38" fontId="11" fillId="0" borderId="1" xfId="1" applyFont="1" applyBorder="1">
      <alignment vertical="center"/>
    </xf>
    <xf numFmtId="0" fontId="11" fillId="3" borderId="2" xfId="0" applyFont="1" applyFill="1" applyBorder="1" applyAlignment="1">
      <alignment horizontal="center" vertical="center"/>
    </xf>
    <xf numFmtId="38" fontId="10" fillId="0" borderId="2" xfId="1" applyFont="1" applyBorder="1" applyAlignment="1"/>
    <xf numFmtId="179" fontId="10" fillId="0" borderId="1" xfId="0" applyNumberFormat="1" applyFont="1" applyBorder="1" applyAlignment="1">
      <alignment horizontal="center"/>
    </xf>
    <xf numFmtId="179" fontId="11" fillId="0" borderId="1" xfId="0" applyNumberFormat="1" applyFont="1" applyBorder="1">
      <alignment vertical="center"/>
    </xf>
    <xf numFmtId="179" fontId="10" fillId="0" borderId="1" xfId="0" applyNumberFormat="1" applyFont="1" applyBorder="1" applyAlignment="1"/>
    <xf numFmtId="0" fontId="20" fillId="3" borderId="1" xfId="0" applyFont="1" applyFill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/>
    </xf>
    <xf numFmtId="0" fontId="20" fillId="0" borderId="0" xfId="0" applyFont="1">
      <alignment vertical="center"/>
    </xf>
    <xf numFmtId="3" fontId="11" fillId="0" borderId="1" xfId="0" applyNumberFormat="1" applyFont="1" applyBorder="1">
      <alignment vertical="center"/>
    </xf>
    <xf numFmtId="38" fontId="11" fillId="4" borderId="1" xfId="1" applyFont="1" applyFill="1" applyBorder="1">
      <alignment vertical="center"/>
    </xf>
    <xf numFmtId="38" fontId="11" fillId="0" borderId="1" xfId="0" applyNumberFormat="1" applyFont="1" applyBorder="1">
      <alignment vertical="center"/>
    </xf>
    <xf numFmtId="38" fontId="11" fillId="4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23" fillId="3" borderId="1" xfId="0" applyFont="1" applyFill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shrinkToFit="1"/>
    </xf>
    <xf numFmtId="38" fontId="11" fillId="5" borderId="1" xfId="1" applyFont="1" applyFill="1" applyBorder="1" applyAlignment="1">
      <alignment horizontal="right" vertical="center"/>
    </xf>
    <xf numFmtId="38" fontId="11" fillId="5" borderId="1" xfId="1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shrinkToFit="1"/>
    </xf>
    <xf numFmtId="38" fontId="20" fillId="0" borderId="1" xfId="1" applyFont="1" applyBorder="1">
      <alignment vertical="center"/>
    </xf>
    <xf numFmtId="180" fontId="10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177" fontId="16" fillId="0" borderId="0" xfId="0" applyNumberFormat="1" applyFont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3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3" fontId="11" fillId="10" borderId="1" xfId="0" applyNumberFormat="1" applyFont="1" applyFill="1" applyBorder="1">
      <alignment vertical="center"/>
    </xf>
    <xf numFmtId="0" fontId="20" fillId="10" borderId="1" xfId="0" applyFont="1" applyFill="1" applyBorder="1">
      <alignment vertical="center"/>
    </xf>
    <xf numFmtId="0" fontId="24" fillId="2" borderId="0" xfId="0" applyFont="1" applyFill="1">
      <alignment vertical="center"/>
    </xf>
    <xf numFmtId="0" fontId="25" fillId="0" borderId="0" xfId="0" applyFont="1" applyAlignment="1">
      <alignment horizontal="center" vertical="top"/>
    </xf>
    <xf numFmtId="177" fontId="25" fillId="0" borderId="0" xfId="0" applyNumberFormat="1" applyFont="1" applyAlignment="1">
      <alignment horizontal="left" vertical="top"/>
    </xf>
    <xf numFmtId="177" fontId="25" fillId="0" borderId="0" xfId="0" applyNumberFormat="1" applyFont="1" applyAlignment="1">
      <alignment horizontal="center" vertical="top"/>
    </xf>
    <xf numFmtId="5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27" fillId="0" borderId="0" xfId="0" applyFont="1" applyAlignment="1">
      <alignment vertical="top"/>
    </xf>
    <xf numFmtId="0" fontId="28" fillId="0" borderId="0" xfId="0" applyFont="1" applyAlignment="1"/>
    <xf numFmtId="0" fontId="11" fillId="0" borderId="1" xfId="0" applyFont="1" applyBorder="1" applyAlignment="1">
      <alignment horizontal="center" vertical="center" shrinkToFit="1"/>
    </xf>
    <xf numFmtId="3" fontId="11" fillId="0" borderId="1" xfId="0" applyNumberFormat="1" applyFont="1" applyBorder="1" applyAlignment="1">
      <alignment vertical="center" shrinkToFit="1"/>
    </xf>
    <xf numFmtId="38" fontId="11" fillId="0" borderId="1" xfId="1" applyFont="1" applyBorder="1" applyAlignment="1">
      <alignment vertical="center" shrinkToFit="1"/>
    </xf>
    <xf numFmtId="0" fontId="10" fillId="0" borderId="1" xfId="0" applyFont="1" applyBorder="1" applyAlignment="1">
      <alignment horizontal="center" shrinkToFit="1"/>
    </xf>
    <xf numFmtId="58" fontId="31" fillId="0" borderId="14" xfId="0" applyNumberFormat="1" applyFont="1" applyBorder="1" applyAlignment="1"/>
    <xf numFmtId="0" fontId="14" fillId="0" borderId="2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37" fillId="0" borderId="2" xfId="0" applyFont="1" applyBorder="1" applyAlignment="1">
      <alignment shrinkToFit="1"/>
    </xf>
    <xf numFmtId="0" fontId="28" fillId="0" borderId="0" xfId="0" applyFont="1" applyAlignment="1">
      <alignment vertical="top"/>
    </xf>
    <xf numFmtId="177" fontId="14" fillId="0" borderId="7" xfId="0" applyNumberFormat="1" applyFont="1" applyBorder="1" applyAlignment="1">
      <alignment horizontal="right" vertical="center"/>
    </xf>
    <xf numFmtId="0" fontId="14" fillId="0" borderId="8" xfId="0" applyFont="1" applyBorder="1">
      <alignment vertical="center"/>
    </xf>
    <xf numFmtId="177" fontId="14" fillId="0" borderId="7" xfId="0" applyNumberFormat="1" applyFont="1" applyBorder="1">
      <alignment vertical="center"/>
    </xf>
    <xf numFmtId="0" fontId="44" fillId="0" borderId="0" xfId="0" applyFont="1" applyAlignment="1">
      <alignment vertical="top"/>
    </xf>
    <xf numFmtId="3" fontId="11" fillId="10" borderId="1" xfId="0" applyNumberFormat="1" applyFont="1" applyFill="1" applyBorder="1" applyAlignment="1">
      <alignment horizontal="right" vertical="center"/>
    </xf>
    <xf numFmtId="3" fontId="11" fillId="10" borderId="1" xfId="0" applyNumberFormat="1" applyFont="1" applyFill="1" applyBorder="1" applyAlignment="1">
      <alignment horizontal="right" vertical="center" shrinkToFit="1"/>
    </xf>
    <xf numFmtId="0" fontId="10" fillId="3" borderId="13" xfId="0" applyFont="1" applyFill="1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38" fontId="0" fillId="0" borderId="0" xfId="0" applyNumberFormat="1">
      <alignment vertical="center"/>
    </xf>
    <xf numFmtId="0" fontId="11" fillId="5" borderId="1" xfId="0" applyFont="1" applyFill="1" applyBorder="1">
      <alignment vertical="center"/>
    </xf>
    <xf numFmtId="57" fontId="10" fillId="5" borderId="1" xfId="0" applyNumberFormat="1" applyFont="1" applyFill="1" applyBorder="1" applyAlignment="1"/>
    <xf numFmtId="182" fontId="10" fillId="5" borderId="1" xfId="0" applyNumberFormat="1" applyFont="1" applyFill="1" applyBorder="1" applyAlignment="1"/>
    <xf numFmtId="178" fontId="11" fillId="5" borderId="1" xfId="0" applyNumberFormat="1" applyFont="1" applyFill="1" applyBorder="1">
      <alignment vertical="center"/>
    </xf>
    <xf numFmtId="0" fontId="8" fillId="5" borderId="1" xfId="0" applyFont="1" applyFill="1" applyBorder="1">
      <alignment vertical="center"/>
    </xf>
    <xf numFmtId="179" fontId="8" fillId="5" borderId="1" xfId="0" applyNumberFormat="1" applyFont="1" applyFill="1" applyBorder="1">
      <alignment vertical="center"/>
    </xf>
    <xf numFmtId="0" fontId="20" fillId="5" borderId="1" xfId="0" applyFont="1" applyFill="1" applyBorder="1" applyAlignment="1">
      <alignment horizontal="center" vertical="center" wrapText="1"/>
    </xf>
    <xf numFmtId="0" fontId="0" fillId="5" borderId="1" xfId="0" applyFill="1" applyBorder="1">
      <alignment vertical="center"/>
    </xf>
    <xf numFmtId="0" fontId="8" fillId="11" borderId="1" xfId="0" applyFont="1" applyFill="1" applyBorder="1">
      <alignment vertical="center"/>
    </xf>
    <xf numFmtId="179" fontId="8" fillId="11" borderId="1" xfId="0" applyNumberFormat="1" applyFont="1" applyFill="1" applyBorder="1">
      <alignment vertical="center"/>
    </xf>
    <xf numFmtId="182" fontId="10" fillId="11" borderId="1" xfId="0" applyNumberFormat="1" applyFont="1" applyFill="1" applyBorder="1" applyAlignment="1"/>
    <xf numFmtId="38" fontId="20" fillId="0" borderId="0" xfId="1" applyFont="1">
      <alignment vertical="center"/>
    </xf>
    <xf numFmtId="182" fontId="8" fillId="11" borderId="1" xfId="1" applyNumberFormat="1" applyFont="1" applyFill="1" applyBorder="1">
      <alignment vertical="center"/>
    </xf>
    <xf numFmtId="0" fontId="11" fillId="5" borderId="1" xfId="2" applyNumberFormat="1" applyFont="1" applyFill="1" applyBorder="1" applyAlignment="1">
      <alignment vertical="center"/>
    </xf>
    <xf numFmtId="0" fontId="20" fillId="5" borderId="1" xfId="0" applyFont="1" applyFill="1" applyBorder="1">
      <alignment vertical="center"/>
    </xf>
    <xf numFmtId="0" fontId="38" fillId="6" borderId="9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10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177" fontId="43" fillId="0" borderId="9" xfId="0" applyNumberFormat="1" applyFont="1" applyBorder="1" applyAlignment="1">
      <alignment horizontal="left" vertical="center" wrapText="1"/>
    </xf>
    <xf numFmtId="177" fontId="43" fillId="0" borderId="5" xfId="0" applyNumberFormat="1" applyFont="1" applyBorder="1" applyAlignment="1">
      <alignment horizontal="left" vertical="center" wrapText="1"/>
    </xf>
    <xf numFmtId="177" fontId="43" fillId="0" borderId="10" xfId="0" applyNumberFormat="1" applyFont="1" applyBorder="1" applyAlignment="1">
      <alignment horizontal="left" vertical="center" wrapText="1"/>
    </xf>
    <xf numFmtId="177" fontId="43" fillId="0" borderId="11" xfId="0" applyNumberFormat="1" applyFont="1" applyBorder="1" applyAlignment="1">
      <alignment horizontal="left" vertical="center" wrapText="1"/>
    </xf>
    <xf numFmtId="177" fontId="43" fillId="0" borderId="12" xfId="0" applyNumberFormat="1" applyFont="1" applyBorder="1" applyAlignment="1">
      <alignment horizontal="left" vertical="center" wrapText="1"/>
    </xf>
    <xf numFmtId="177" fontId="43" fillId="0" borderId="1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178" fontId="22" fillId="0" borderId="1" xfId="0" applyNumberFormat="1" applyFont="1" applyBorder="1" applyAlignment="1">
      <alignment horizontal="center" vertical="center" shrinkToFit="1"/>
    </xf>
    <xf numFmtId="38" fontId="27" fillId="0" borderId="3" xfId="1" applyFont="1" applyBorder="1" applyAlignment="1" applyProtection="1">
      <alignment horizontal="center" vertical="center" shrinkToFit="1"/>
    </xf>
    <xf numFmtId="38" fontId="27" fillId="0" borderId="4" xfId="1" applyFont="1" applyBorder="1" applyAlignment="1" applyProtection="1">
      <alignment horizontal="center" vertical="center" shrinkToFit="1"/>
    </xf>
    <xf numFmtId="0" fontId="43" fillId="0" borderId="9" xfId="0" applyFont="1" applyBorder="1" applyAlignment="1">
      <alignment vertical="center" wrapText="1"/>
    </xf>
    <xf numFmtId="0" fontId="43" fillId="0" borderId="5" xfId="0" applyFont="1" applyBorder="1" applyAlignment="1">
      <alignment vertical="center" wrapText="1"/>
    </xf>
    <xf numFmtId="0" fontId="43" fillId="0" borderId="10" xfId="0" applyFont="1" applyBorder="1" applyAlignment="1">
      <alignment vertical="center" wrapText="1"/>
    </xf>
    <xf numFmtId="0" fontId="43" fillId="0" borderId="11" xfId="0" applyFont="1" applyBorder="1" applyAlignment="1">
      <alignment vertical="center" wrapText="1"/>
    </xf>
    <xf numFmtId="0" fontId="43" fillId="0" borderId="12" xfId="0" applyFont="1" applyBorder="1" applyAlignment="1">
      <alignment vertical="center" wrapText="1"/>
    </xf>
    <xf numFmtId="0" fontId="43" fillId="0" borderId="13" xfId="0" applyFont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2" fontId="48" fillId="0" borderId="5" xfId="0" applyNumberFormat="1" applyFont="1" applyBorder="1" applyAlignment="1">
      <alignment horizontal="center" vertical="center" shrinkToFit="1"/>
    </xf>
    <xf numFmtId="2" fontId="39" fillId="0" borderId="5" xfId="0" applyNumberFormat="1" applyFont="1" applyBorder="1" applyAlignment="1">
      <alignment horizontal="center" vertical="center" shrinkToFit="1"/>
    </xf>
    <xf numFmtId="2" fontId="39" fillId="0" borderId="12" xfId="0" applyNumberFormat="1" applyFont="1" applyBorder="1" applyAlignment="1">
      <alignment horizontal="center" vertical="center" shrinkToFit="1"/>
    </xf>
    <xf numFmtId="0" fontId="38" fillId="6" borderId="0" xfId="0" applyFont="1" applyFill="1" applyAlignment="1">
      <alignment horizontal="center" vertical="center" shrinkToFit="1"/>
    </xf>
    <xf numFmtId="0" fontId="47" fillId="6" borderId="0" xfId="0" applyFont="1" applyFill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177" fontId="46" fillId="0" borderId="6" xfId="0" applyNumberFormat="1" applyFont="1" applyBorder="1" applyAlignment="1">
      <alignment horizontal="right" vertical="center" shrinkToFit="1"/>
    </xf>
    <xf numFmtId="177" fontId="26" fillId="0" borderId="7" xfId="0" applyNumberFormat="1" applyFont="1" applyBorder="1" applyAlignment="1">
      <alignment horizontal="right" vertical="center" shrinkToFit="1"/>
    </xf>
    <xf numFmtId="0" fontId="4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8" fillId="6" borderId="3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3" fillId="0" borderId="3" xfId="0" applyFont="1" applyBorder="1" applyAlignment="1">
      <alignment vertical="center" wrapText="1"/>
    </xf>
    <xf numFmtId="0" fontId="43" fillId="0" borderId="4" xfId="0" applyFont="1" applyBorder="1">
      <alignment vertical="center"/>
    </xf>
    <xf numFmtId="0" fontId="43" fillId="0" borderId="2" xfId="0" applyFont="1" applyBorder="1">
      <alignment vertical="center"/>
    </xf>
    <xf numFmtId="0" fontId="37" fillId="0" borderId="10" xfId="0" applyFont="1" applyBorder="1" applyAlignment="1">
      <alignment shrinkToFit="1"/>
    </xf>
    <xf numFmtId="0" fontId="37" fillId="0" borderId="13" xfId="0" applyFont="1" applyBorder="1" applyAlignment="1">
      <alignment shrinkToFit="1"/>
    </xf>
    <xf numFmtId="181" fontId="39" fillId="0" borderId="9" xfId="0" applyNumberFormat="1" applyFont="1" applyBorder="1" applyAlignment="1">
      <alignment horizontal="center" vertical="center" wrapText="1"/>
    </xf>
    <xf numFmtId="181" fontId="39" fillId="0" borderId="11" xfId="0" applyNumberFormat="1" applyFont="1" applyBorder="1" applyAlignment="1">
      <alignment horizontal="center" vertical="center" wrapText="1"/>
    </xf>
    <xf numFmtId="181" fontId="40" fillId="0" borderId="5" xfId="0" applyNumberFormat="1" applyFont="1" applyBorder="1" applyAlignment="1">
      <alignment horizontal="center" vertical="center" wrapText="1"/>
    </xf>
    <xf numFmtId="181" fontId="40" fillId="0" borderId="12" xfId="0" applyNumberFormat="1" applyFont="1" applyBorder="1" applyAlignment="1">
      <alignment horizontal="center" vertical="center" wrapText="1"/>
    </xf>
    <xf numFmtId="0" fontId="43" fillId="0" borderId="4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177" fontId="48" fillId="0" borderId="3" xfId="0" applyNumberFormat="1" applyFont="1" applyBorder="1" applyAlignment="1">
      <alignment horizontal="center" vertical="center"/>
    </xf>
    <xf numFmtId="177" fontId="48" fillId="0" borderId="4" xfId="0" applyNumberFormat="1" applyFont="1" applyBorder="1" applyAlignment="1">
      <alignment horizontal="center" vertical="center"/>
    </xf>
    <xf numFmtId="0" fontId="43" fillId="0" borderId="3" xfId="0" applyFont="1" applyBorder="1">
      <alignment vertical="center"/>
    </xf>
    <xf numFmtId="177" fontId="48" fillId="0" borderId="9" xfId="0" applyNumberFormat="1" applyFont="1" applyBorder="1" applyAlignment="1">
      <alignment horizontal="center" vertical="center" shrinkToFit="1"/>
    </xf>
    <xf numFmtId="177" fontId="48" fillId="0" borderId="5" xfId="0" applyNumberFormat="1" applyFont="1" applyBorder="1" applyAlignment="1">
      <alignment horizontal="center" vertical="center" shrinkToFit="1"/>
    </xf>
    <xf numFmtId="177" fontId="48" fillId="0" borderId="11" xfId="0" applyNumberFormat="1" applyFont="1" applyBorder="1" applyAlignment="1">
      <alignment horizontal="center" vertical="center" shrinkToFit="1"/>
    </xf>
    <xf numFmtId="177" fontId="48" fillId="0" borderId="12" xfId="0" applyNumberFormat="1" applyFont="1" applyBorder="1" applyAlignment="1">
      <alignment horizontal="center" vertical="center" shrinkToFit="1"/>
    </xf>
    <xf numFmtId="0" fontId="15" fillId="9" borderId="3" xfId="0" applyFont="1" applyFill="1" applyBorder="1" applyAlignment="1">
      <alignment horizontal="center" vertical="center" shrinkToFit="1"/>
    </xf>
    <xf numFmtId="0" fontId="15" fillId="9" borderId="4" xfId="0" applyFont="1" applyFill="1" applyBorder="1" applyAlignment="1">
      <alignment horizontal="center" vertical="center" shrinkToFit="1"/>
    </xf>
    <xf numFmtId="0" fontId="15" fillId="9" borderId="2" xfId="0" applyFont="1" applyFill="1" applyBorder="1" applyAlignment="1">
      <alignment horizontal="center" vertical="center" shrinkToFit="1"/>
    </xf>
    <xf numFmtId="0" fontId="34" fillId="0" borderId="3" xfId="0" applyFont="1" applyBorder="1" applyAlignment="1" applyProtection="1">
      <alignment horizontal="center" vertical="center" shrinkToFit="1"/>
      <protection locked="0"/>
    </xf>
    <xf numFmtId="0" fontId="34" fillId="0" borderId="4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center" shrinkToFit="1"/>
    </xf>
    <xf numFmtId="0" fontId="15" fillId="0" borderId="4" xfId="0" applyFont="1" applyBorder="1" applyAlignment="1">
      <alignment horizontal="center" shrinkToFit="1"/>
    </xf>
    <xf numFmtId="0" fontId="15" fillId="0" borderId="2" xfId="0" applyFont="1" applyBorder="1" applyAlignment="1">
      <alignment horizontal="center" shrinkToFit="1"/>
    </xf>
    <xf numFmtId="178" fontId="22" fillId="0" borderId="1" xfId="0" applyNumberFormat="1" applyFont="1" applyBorder="1" applyAlignment="1" applyProtection="1">
      <alignment horizontal="center" vertical="center" shrinkToFit="1"/>
      <protection locked="0"/>
    </xf>
    <xf numFmtId="58" fontId="45" fillId="0" borderId="14" xfId="0" applyNumberFormat="1" applyFont="1" applyBorder="1" applyAlignment="1">
      <alignment horizontal="right"/>
    </xf>
    <xf numFmtId="3" fontId="39" fillId="8" borderId="0" xfId="0" applyNumberFormat="1" applyFont="1" applyFill="1" applyAlignment="1">
      <alignment horizontal="center" vertical="center"/>
    </xf>
    <xf numFmtId="57" fontId="39" fillId="7" borderId="0" xfId="0" applyNumberFormat="1" applyFont="1" applyFill="1" applyAlignment="1">
      <alignment horizontal="center" vertical="center" shrinkToFit="1"/>
    </xf>
    <xf numFmtId="0" fontId="30" fillId="8" borderId="3" xfId="0" applyFont="1" applyFill="1" applyBorder="1" applyAlignment="1">
      <alignment horizontal="center" wrapText="1" shrinkToFit="1"/>
    </xf>
    <xf numFmtId="0" fontId="30" fillId="8" borderId="4" xfId="0" applyFont="1" applyFill="1" applyBorder="1" applyAlignment="1">
      <alignment horizontal="center" wrapText="1" shrinkToFit="1"/>
    </xf>
    <xf numFmtId="0" fontId="30" fillId="8" borderId="2" xfId="0" applyFont="1" applyFill="1" applyBorder="1" applyAlignment="1">
      <alignment horizontal="center" wrapText="1" shrinkToFit="1"/>
    </xf>
    <xf numFmtId="0" fontId="30" fillId="7" borderId="3" xfId="0" applyFont="1" applyFill="1" applyBorder="1" applyAlignment="1">
      <alignment horizontal="center" wrapText="1" shrinkToFit="1"/>
    </xf>
    <xf numFmtId="0" fontId="30" fillId="7" borderId="4" xfId="0" applyFont="1" applyFill="1" applyBorder="1" applyAlignment="1">
      <alignment horizontal="center" wrapText="1" shrinkToFit="1"/>
    </xf>
    <xf numFmtId="0" fontId="30" fillId="7" borderId="2" xfId="0" applyFont="1" applyFill="1" applyBorder="1" applyAlignment="1">
      <alignment horizontal="center" wrapText="1" shrinkToFit="1"/>
    </xf>
    <xf numFmtId="38" fontId="27" fillId="0" borderId="3" xfId="1" applyFont="1" applyBorder="1" applyAlignment="1" applyProtection="1">
      <alignment horizontal="center" vertical="center" shrinkToFit="1"/>
      <protection locked="0"/>
    </xf>
    <xf numFmtId="38" fontId="27" fillId="0" borderId="4" xfId="1" applyFont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>
      <alignment horizontal="center" vertical="center" textRotation="255"/>
    </xf>
    <xf numFmtId="38" fontId="10" fillId="3" borderId="1" xfId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textRotation="255"/>
    </xf>
    <xf numFmtId="180" fontId="11" fillId="0" borderId="15" xfId="2" applyNumberFormat="1" applyFont="1" applyBorder="1" applyAlignment="1">
      <alignment horizontal="center" vertical="center" shrinkToFit="1"/>
    </xf>
    <xf numFmtId="180" fontId="11" fillId="0" borderId="16" xfId="2" applyNumberFormat="1" applyFont="1" applyBorder="1" applyAlignment="1">
      <alignment horizontal="center" vertical="center" shrinkToFit="1"/>
    </xf>
    <xf numFmtId="180" fontId="11" fillId="0" borderId="17" xfId="2" applyNumberFormat="1" applyFont="1" applyBorder="1" applyAlignment="1">
      <alignment horizontal="center" vertical="center" shrinkToFit="1"/>
    </xf>
    <xf numFmtId="178" fontId="22" fillId="0" borderId="1" xfId="0" applyNumberFormat="1" applyFont="1" applyBorder="1" applyAlignment="1" applyProtection="1">
      <alignment horizontal="center" vertic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12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66FFFF"/>
      <color rgb="FFFF6699"/>
      <color rgb="FF009900"/>
      <color rgb="FF33CC33"/>
      <color rgb="FFFF3300"/>
      <color rgb="FF008000"/>
      <color rgb="FFFF5050"/>
      <color rgb="FFFFFF99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17584</xdr:colOff>
      <xdr:row>36</xdr:row>
      <xdr:rowOff>16119</xdr:rowOff>
    </xdr:from>
    <xdr:to>
      <xdr:col>7</xdr:col>
      <xdr:colOff>9524</xdr:colOff>
      <xdr:row>37</xdr:row>
      <xdr:rowOff>9769</xdr:rowOff>
    </xdr:to>
    <xdr:sp macro="[0]!正方形長方形1_Click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00757" y="5621215"/>
          <a:ext cx="1332767" cy="338016"/>
        </a:xfrm>
        <a:prstGeom prst="rect">
          <a:avLst/>
        </a:prstGeom>
        <a:solidFill>
          <a:schemeClr val="bg1">
            <a:alpha val="15000"/>
          </a:schemeClr>
        </a:solidFill>
        <a:ln w="9525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211231</xdr:colOff>
      <xdr:row>44</xdr:row>
      <xdr:rowOff>58831</xdr:rowOff>
    </xdr:from>
    <xdr:to>
      <xdr:col>10</xdr:col>
      <xdr:colOff>209550</xdr:colOff>
      <xdr:row>45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25706" y="7297831"/>
          <a:ext cx="741269" cy="312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年齢</a:t>
          </a:r>
        </a:p>
      </xdr:txBody>
    </xdr:sp>
    <xdr:clientData/>
  </xdr:twoCellAnchor>
  <xdr:twoCellAnchor editAs="absolute">
    <xdr:from>
      <xdr:col>1</xdr:col>
      <xdr:colOff>27518</xdr:colOff>
      <xdr:row>0</xdr:row>
      <xdr:rowOff>35983</xdr:rowOff>
    </xdr:from>
    <xdr:to>
      <xdr:col>32</xdr:col>
      <xdr:colOff>66675</xdr:colOff>
      <xdr:row>4</xdr:row>
      <xdr:rowOff>85725</xdr:rowOff>
    </xdr:to>
    <xdr:sp macro="" textlink="">
      <xdr:nvSpPr>
        <xdr:cNvPr id="6" name="正方形/長方形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46568" y="35983"/>
          <a:ext cx="7821082" cy="506942"/>
        </a:xfrm>
        <a:prstGeom prst="rect">
          <a:avLst/>
        </a:prstGeom>
        <a:solidFill>
          <a:srgbClr val="008000"/>
        </a:solidFill>
        <a:ln w="9525">
          <a:noFill/>
          <a:round/>
          <a:headEnd/>
          <a:tailEnd/>
        </a:ln>
      </xdr:spPr>
      <xdr:txBody>
        <a:bodyPr vertOverflow="clip" horzOverflow="clip" rtlCol="0" anchor="ctr"/>
        <a:lstStyle/>
        <a:p>
          <a:pPr algn="ctr"/>
          <a:r>
            <a:rPr kumimoji="0" lang="ja-JP" altLang="ja-JP" sz="24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</a:t>
          </a:r>
          <a:r>
            <a:rPr kumimoji="0" lang="ja-JP" altLang="en-US" sz="24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</a:t>
          </a:r>
          <a:r>
            <a:rPr kumimoji="0" lang="ja-JP" altLang="ja-JP" sz="24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</a:t>
          </a:r>
          <a:r>
            <a:rPr kumimoji="0" lang="ja-JP" altLang="en-US" sz="24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24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埼玉県後期高齢者医療</a:t>
          </a:r>
          <a:r>
            <a:rPr lang="ja-JP" altLang="ja-JP" sz="24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保険料</a:t>
          </a:r>
          <a:r>
            <a:rPr lang="ja-JP" altLang="en-US" sz="24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ja-JP" altLang="ja-JP" sz="240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試算シート</a:t>
          </a:r>
          <a:endParaRPr kumimoji="1" lang="ja-JP" altLang="en-US" sz="2400">
            <a:solidFill>
              <a:schemeClr val="bg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276225</xdr:colOff>
      <xdr:row>36</xdr:row>
      <xdr:rowOff>52019</xdr:rowOff>
    </xdr:from>
    <xdr:to>
      <xdr:col>5</xdr:col>
      <xdr:colOff>0</xdr:colOff>
      <xdr:row>36</xdr:row>
      <xdr:rowOff>295274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742950" y="5690819"/>
          <a:ext cx="295275" cy="24325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159972</xdr:colOff>
      <xdr:row>41</xdr:row>
      <xdr:rowOff>14653</xdr:rowOff>
    </xdr:from>
    <xdr:to>
      <xdr:col>6</xdr:col>
      <xdr:colOff>234461</xdr:colOff>
      <xdr:row>42</xdr:row>
      <xdr:rowOff>3663</xdr:rowOff>
    </xdr:to>
    <xdr:sp macro="[0]!正方形長方形2_Click" textlink="">
      <xdr:nvSpPr>
        <xdr:cNvPr id="9" name="正方形/長方形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81953" y="6814038"/>
          <a:ext cx="1327393" cy="333375"/>
        </a:xfrm>
        <a:prstGeom prst="rect">
          <a:avLst/>
        </a:prstGeom>
        <a:solidFill>
          <a:schemeClr val="bg1">
            <a:alpha val="15000"/>
          </a:schemeClr>
        </a:solidFill>
        <a:ln w="9525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285749</xdr:colOff>
      <xdr:row>41</xdr:row>
      <xdr:rowOff>47625</xdr:rowOff>
    </xdr:from>
    <xdr:to>
      <xdr:col>5</xdr:col>
      <xdr:colOff>0</xdr:colOff>
      <xdr:row>41</xdr:row>
      <xdr:rowOff>304800</xdr:rowOff>
    </xdr:to>
    <xdr:sp macro="" textlink="">
      <xdr:nvSpPr>
        <xdr:cNvPr id="11" name="正方形/長方形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752474" y="6877050"/>
          <a:ext cx="285751" cy="2571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12701</xdr:colOff>
      <xdr:row>46</xdr:row>
      <xdr:rowOff>12700</xdr:rowOff>
    </xdr:from>
    <xdr:to>
      <xdr:col>7</xdr:col>
      <xdr:colOff>11206</xdr:colOff>
      <xdr:row>47</xdr:row>
      <xdr:rowOff>12700</xdr:rowOff>
    </xdr:to>
    <xdr:sp macro="[0]!正方形長方形3_Click" textlink="">
      <xdr:nvSpPr>
        <xdr:cNvPr id="12" name="正方形/長方形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337672" y="10445376"/>
          <a:ext cx="1623358" cy="403412"/>
        </a:xfrm>
        <a:prstGeom prst="rect">
          <a:avLst/>
        </a:prstGeom>
        <a:solidFill>
          <a:schemeClr val="bg1">
            <a:alpha val="15000"/>
          </a:schemeClr>
        </a:solidFill>
        <a:ln w="9525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9524</xdr:colOff>
      <xdr:row>46</xdr:row>
      <xdr:rowOff>47625</xdr:rowOff>
    </xdr:from>
    <xdr:to>
      <xdr:col>4</xdr:col>
      <xdr:colOff>276225</xdr:colOff>
      <xdr:row>46</xdr:row>
      <xdr:rowOff>285750</xdr:rowOff>
    </xdr:to>
    <xdr:sp macro="" textlink="">
      <xdr:nvSpPr>
        <xdr:cNvPr id="13" name="正方形/長方形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761999" y="8067675"/>
          <a:ext cx="266701" cy="2381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317500</xdr:colOff>
      <xdr:row>48</xdr:row>
      <xdr:rowOff>0</xdr:rowOff>
    </xdr:from>
    <xdr:to>
      <xdr:col>16</xdr:col>
      <xdr:colOff>12700</xdr:colOff>
      <xdr:row>49</xdr:row>
      <xdr:rowOff>12700</xdr:rowOff>
    </xdr:to>
    <xdr:sp macro="[0]!保険料試算_Click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977900" y="11595100"/>
          <a:ext cx="3987800" cy="419100"/>
        </a:xfrm>
        <a:prstGeom prst="rect">
          <a:avLst/>
        </a:prstGeom>
        <a:solidFill>
          <a:schemeClr val="bg1">
            <a:alpha val="4000"/>
          </a:schemeClr>
        </a:solidFill>
        <a:ln w="9525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18</xdr:col>
      <xdr:colOff>0</xdr:colOff>
      <xdr:row>48</xdr:row>
      <xdr:rowOff>25400</xdr:rowOff>
    </xdr:from>
    <xdr:to>
      <xdr:col>30</xdr:col>
      <xdr:colOff>12700</xdr:colOff>
      <xdr:row>49</xdr:row>
      <xdr:rowOff>25400</xdr:rowOff>
    </xdr:to>
    <xdr:sp macro="[0]!入力情報のクリア_Click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613400" y="11620500"/>
          <a:ext cx="3975100" cy="406400"/>
        </a:xfrm>
        <a:prstGeom prst="rect">
          <a:avLst/>
        </a:prstGeom>
        <a:solidFill>
          <a:schemeClr val="bg1">
            <a:alpha val="4000"/>
          </a:schemeClr>
        </a:solidFill>
        <a:ln w="9525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28575</xdr:colOff>
      <xdr:row>4</xdr:row>
      <xdr:rowOff>118360</xdr:rowOff>
    </xdr:from>
    <xdr:ext cx="7715249" cy="62459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7625" y="575560"/>
          <a:ext cx="7715249" cy="624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>
          <a:no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このシートでは、所得等の条件を入力して令和７年度の埼玉県後期高齢者医療保険料が試算できます。</a:t>
          </a:r>
          <a:endParaRPr lang="en-US" altLang="ja-JP" sz="1400" b="1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同じ世帯にいる全ての被保険者と、世帯主が被保険者でない場合は世帯主の情報を入力して下さい。</a:t>
          </a:r>
          <a:endParaRPr lang="en-US" altLang="ja-JP" sz="1400" b="1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</xdr:col>
      <xdr:colOff>123825</xdr:colOff>
      <xdr:row>19</xdr:row>
      <xdr:rowOff>59871</xdr:rowOff>
    </xdr:from>
    <xdr:to>
      <xdr:col>32</xdr:col>
      <xdr:colOff>104776</xdr:colOff>
      <xdr:row>28</xdr:row>
      <xdr:rowOff>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7432" y="2563585"/>
          <a:ext cx="7696201" cy="15729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　</a:t>
          </a:r>
          <a:r>
            <a:rPr lang="en-US" altLang="ja-JP" sz="1300" b="1" i="0" u="none" strike="noStrike" baseline="0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lang="ja-JP" altLang="ja-JP" sz="13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収入</a:t>
          </a:r>
          <a:r>
            <a:rPr lang="en-US" altLang="ja-JP" sz="13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3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所得</a:t>
          </a:r>
          <a:r>
            <a:rPr lang="en-US" altLang="ja-JP" sz="13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3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等の入力の際</a:t>
          </a:r>
          <a:r>
            <a:rPr lang="ja-JP" altLang="en-US" sz="13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lang="ja-JP" altLang="en-US" sz="1300" b="1" u="none">
              <a:solidFill>
                <a:srgbClr val="FF0000"/>
              </a:solidFill>
              <a:latin typeface="+mn-ea"/>
              <a:ea typeface="+mn-ea"/>
            </a:rPr>
            <a:t>注意事項</a:t>
          </a:r>
          <a:r>
            <a:rPr lang="en-US" altLang="ja-JP" sz="1300" b="1" u="none">
              <a:solidFill>
                <a:srgbClr val="FF0000"/>
              </a:solidFill>
              <a:latin typeface="+mn-ea"/>
              <a:ea typeface="+mn-ea"/>
            </a:rPr>
            <a:t>】</a:t>
          </a:r>
          <a:endParaRPr lang="ja-JP" altLang="en-US" sz="13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   ⑴</a:t>
          </a: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令和６年中（令和６年１月～１２月）の収入・所得情報を入力してください。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   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⑵遺族年金や障害年金等の非課税年金は入力しないでください。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rtl="0"/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企業年金（確定給付企業年金、確定拠出年金等）は「年金収入（年額）」に含まれます。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rtl="0"/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また、個人年金（個人が生命保険会社や損害保険会社と契約する年金）は「その他所得（年額）」に入力してください</a:t>
          </a:r>
          <a:r>
            <a:rPr lang="en-US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   ⑶年金、給与以外の所得（分離課税以外の営業・農業、不動産、配当等）がある方は、経費等を差し引いた後の所得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      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金額（年金、給与以外の所得が複数ある場合は合計額）を「その他の所得（年額）」欄に入力してください。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　</a:t>
          </a:r>
          <a:endParaRPr lang="ja-JP" altLang="en-US" sz="1000" b="0" i="0" u="none" strike="noStrike" baseline="0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  <xdr:twoCellAnchor editAs="absolute">
    <xdr:from>
      <xdr:col>1</xdr:col>
      <xdr:colOff>47625</xdr:colOff>
      <xdr:row>19</xdr:row>
      <xdr:rowOff>19050</xdr:rowOff>
    </xdr:from>
    <xdr:to>
      <xdr:col>32</xdr:col>
      <xdr:colOff>76200</xdr:colOff>
      <xdr:row>27</xdr:row>
      <xdr:rowOff>122465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61232" y="2522764"/>
          <a:ext cx="7743825" cy="1545772"/>
        </a:xfrm>
        <a:prstGeom prst="roundRect">
          <a:avLst>
            <a:gd name="adj" fmla="val 141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kumimoji="1" lang="ja-JP" altLang="en-US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104775</xdr:colOff>
      <xdr:row>11</xdr:row>
      <xdr:rowOff>32634</xdr:rowOff>
    </xdr:from>
    <xdr:ext cx="7600950" cy="29121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3825" y="1423284"/>
          <a:ext cx="7600950" cy="291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分離課税所得や損失の繰越控除、専従者控除等がある場合、また給与等の収入金額が</a:t>
          </a:r>
          <a:r>
            <a:rPr lang="en-US" altLang="ja-JP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850</a:t>
          </a:r>
          <a:r>
            <a:rPr lang="ja-JP" altLang="en-US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万円超</a:t>
          </a: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85725</xdr:colOff>
      <xdr:row>9</xdr:row>
      <xdr:rowOff>28575</xdr:rowOff>
    </xdr:from>
    <xdr:ext cx="6638925" cy="3429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4775" y="1152525"/>
          <a:ext cx="6638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 i="0" u="non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試算結果は入力した条件による</a:t>
          </a:r>
          <a:r>
            <a:rPr lang="ja-JP" altLang="en-US" sz="1400" b="1" i="0" u="none" baseline="0">
              <a:solidFill>
                <a:srgbClr val="FF33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概算</a:t>
          </a:r>
          <a:r>
            <a:rPr lang="ja-JP" altLang="en-US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lang="ja-JP" altLang="en-US" sz="1400" b="1" i="0" u="none" baseline="0">
              <a:solidFill>
                <a:srgbClr val="FF33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実際の保険料額とは、異なる場合があります。</a:t>
          </a:r>
          <a:endParaRPr lang="en-US" altLang="ja-JP" sz="1400" b="1" i="0" u="none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0</xdr:colOff>
      <xdr:row>13</xdr:row>
      <xdr:rowOff>9525</xdr:rowOff>
    </xdr:from>
    <xdr:ext cx="7505700" cy="276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0975" y="1666875"/>
          <a:ext cx="75057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で一定条件に該当し所得金額調整控除を受ける方、被用者保険の被扶養者であった方等は、この</a:t>
          </a: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95250</xdr:colOff>
      <xdr:row>16</xdr:row>
      <xdr:rowOff>104775</xdr:rowOff>
    </xdr:from>
    <xdr:ext cx="7600950" cy="3048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4300" y="2162175"/>
          <a:ext cx="7600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400" b="1" i="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このシートにおける被保険者とは、埼玉県後期高齢医療広域連合の被保険者の資格を有する方です。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7</xdr:col>
      <xdr:colOff>239806</xdr:colOff>
      <xdr:row>29</xdr:row>
      <xdr:rowOff>30256</xdr:rowOff>
    </xdr:from>
    <xdr:to>
      <xdr:col>10</xdr:col>
      <xdr:colOff>238125</xdr:colOff>
      <xdr:row>30</xdr:row>
      <xdr:rowOff>257175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54281" y="4040281"/>
          <a:ext cx="741269" cy="29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年齢</a:t>
          </a:r>
        </a:p>
      </xdr:txBody>
    </xdr:sp>
    <xdr:clientData/>
  </xdr:twoCellAnchor>
  <xdr:twoCellAnchor>
    <xdr:from>
      <xdr:col>7</xdr:col>
      <xdr:colOff>211231</xdr:colOff>
      <xdr:row>34</xdr:row>
      <xdr:rowOff>58831</xdr:rowOff>
    </xdr:from>
    <xdr:to>
      <xdr:col>10</xdr:col>
      <xdr:colOff>209550</xdr:colOff>
      <xdr:row>35</xdr:row>
      <xdr:rowOff>285750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725706" y="7545481"/>
          <a:ext cx="741269" cy="29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年齢</a:t>
          </a:r>
        </a:p>
      </xdr:txBody>
    </xdr:sp>
    <xdr:clientData/>
  </xdr:twoCellAnchor>
  <xdr:twoCellAnchor>
    <xdr:from>
      <xdr:col>7</xdr:col>
      <xdr:colOff>211231</xdr:colOff>
      <xdr:row>39</xdr:row>
      <xdr:rowOff>58831</xdr:rowOff>
    </xdr:from>
    <xdr:to>
      <xdr:col>10</xdr:col>
      <xdr:colOff>209550</xdr:colOff>
      <xdr:row>40</xdr:row>
      <xdr:rowOff>285750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25706" y="7593106"/>
          <a:ext cx="741269" cy="29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年齢</a:t>
          </a:r>
        </a:p>
      </xdr:txBody>
    </xdr:sp>
    <xdr:clientData/>
  </xdr:twoCellAnchor>
  <xdr:oneCellAnchor>
    <xdr:from>
      <xdr:col>2</xdr:col>
      <xdr:colOff>114300</xdr:colOff>
      <xdr:row>14</xdr:row>
      <xdr:rowOff>104775</xdr:rowOff>
    </xdr:from>
    <xdr:ext cx="7391400" cy="27622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95275" y="1895475"/>
          <a:ext cx="7391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u="none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シートでは試算できません。</a:t>
          </a:r>
          <a:endParaRPr lang="ja-JP" altLang="en-US" sz="1400" b="1" i="0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 b="1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19</xdr:row>
      <xdr:rowOff>57150</xdr:rowOff>
    </xdr:from>
    <xdr:to>
      <xdr:col>2</xdr:col>
      <xdr:colOff>609600</xdr:colOff>
      <xdr:row>23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1628775" y="4267200"/>
          <a:ext cx="1085850" cy="847725"/>
        </a:xfrm>
        <a:prstGeom prst="wedgeRectCallout">
          <a:avLst>
            <a:gd name="adj1" fmla="val -26096"/>
            <a:gd name="adj2" fmla="val -60877"/>
          </a:avLst>
        </a:prstGeom>
        <a:solidFill>
          <a:srgbClr val="66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年金給与所得者の数の計算含めました</a:t>
          </a:r>
          <a:endParaRPr kumimoji="1" lang="en-US" altLang="ja-JP" sz="11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a:spPr>
      <a:bodyPr anchor="ctr"/>
      <a:lstStyle>
        <a:defPPr algn="ctr">
          <a:defRPr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</a:objectDefaults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H62"/>
  <sheetViews>
    <sheetView showGridLines="0" tabSelected="1" topLeftCell="A10" zoomScale="70" zoomScaleNormal="70" zoomScaleSheetLayoutView="75" workbookViewId="0">
      <selection activeCell="C32" sqref="C32:G32"/>
    </sheetView>
  </sheetViews>
  <sheetFormatPr defaultRowHeight="14.25" x14ac:dyDescent="0.25"/>
  <cols>
    <col min="1" max="1" width="0.25" style="1" customWidth="1"/>
    <col min="2" max="2" width="2.125" style="1" customWidth="1"/>
    <col min="3" max="7" width="3.75" style="1" customWidth="1"/>
    <col min="8" max="33" width="3.25" style="1" customWidth="1"/>
    <col min="34" max="34" width="9" style="1"/>
    <col min="35" max="35" width="9" style="1" customWidth="1"/>
    <col min="36" max="16384" width="9" style="1"/>
  </cols>
  <sheetData>
    <row r="1" ht="4.5" customHeight="1" x14ac:dyDescent="0.25"/>
    <row r="2" ht="10.5" customHeight="1" x14ac:dyDescent="0.25"/>
    <row r="3" ht="10.5" customHeight="1" x14ac:dyDescent="0.25"/>
    <row r="4" ht="10.5" customHeight="1" x14ac:dyDescent="0.25"/>
    <row r="5" ht="10.5" customHeight="1" x14ac:dyDescent="0.25"/>
    <row r="6" ht="10.5" customHeight="1" x14ac:dyDescent="0.25"/>
    <row r="7" ht="10.5" customHeight="1" x14ac:dyDescent="0.25"/>
    <row r="8" ht="10.5" customHeight="1" x14ac:dyDescent="0.25"/>
    <row r="9" ht="10.5" customHeight="1" x14ac:dyDescent="0.25"/>
    <row r="10" ht="10.5" customHeight="1" x14ac:dyDescent="0.25"/>
    <row r="11" ht="10.5" customHeight="1" x14ac:dyDescent="0.25"/>
    <row r="12" ht="10.5" customHeight="1" x14ac:dyDescent="0.25"/>
    <row r="13" ht="10.5" customHeight="1" x14ac:dyDescent="0.25"/>
    <row r="14" ht="10.5" customHeight="1" x14ac:dyDescent="0.25"/>
    <row r="15" ht="10.5" customHeight="1" x14ac:dyDescent="0.25"/>
    <row r="16" ht="10.5" customHeight="1" x14ac:dyDescent="0.25"/>
    <row r="17" spans="2:33" ht="10.5" customHeight="1" x14ac:dyDescent="0.25"/>
    <row r="18" spans="2:33" ht="10.5" customHeight="1" x14ac:dyDescent="0.25"/>
    <row r="19" spans="2:33" ht="10.5" customHeight="1" x14ac:dyDescent="0.25"/>
    <row r="20" spans="2:33" ht="10.5" customHeight="1" x14ac:dyDescent="0.25"/>
    <row r="21" spans="2:33" ht="10.5" customHeight="1" x14ac:dyDescent="0.25"/>
    <row r="22" spans="2:33" ht="10.5" customHeight="1" x14ac:dyDescent="0.25"/>
    <row r="23" spans="2:33" ht="10.5" customHeight="1" x14ac:dyDescent="0.25"/>
    <row r="24" spans="2:33" ht="38.25" customHeight="1" x14ac:dyDescent="0.25">
      <c r="B24" s="5"/>
    </row>
    <row r="25" spans="2:33" ht="10.5" customHeight="1" x14ac:dyDescent="0.25">
      <c r="B25" s="5"/>
    </row>
    <row r="26" spans="2:33" ht="10.5" customHeight="1" x14ac:dyDescent="0.25"/>
    <row r="27" spans="2:33" ht="10.5" customHeight="1" x14ac:dyDescent="0.25"/>
    <row r="28" spans="2:33" ht="15" customHeight="1" x14ac:dyDescent="0.25"/>
    <row r="29" spans="2:33" ht="23.25" customHeight="1" x14ac:dyDescent="0.25">
      <c r="C29" s="94" t="s">
        <v>68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8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7"/>
      <c r="AG29" s="18"/>
    </row>
    <row r="30" spans="2:33" ht="5.25" customHeight="1" x14ac:dyDescent="0.25">
      <c r="C30" s="1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2:33" ht="29.25" customHeight="1" x14ac:dyDescent="0.35">
      <c r="C31" s="181" t="s">
        <v>67</v>
      </c>
      <c r="D31" s="182"/>
      <c r="E31" s="182"/>
      <c r="F31" s="182"/>
      <c r="G31" s="183"/>
      <c r="H31" s="186" t="s">
        <v>109</v>
      </c>
      <c r="I31" s="187"/>
      <c r="J31" s="187"/>
      <c r="K31" s="188"/>
      <c r="L31" s="134" t="s">
        <v>29</v>
      </c>
      <c r="M31" s="135"/>
      <c r="N31" s="135"/>
      <c r="O31" s="135"/>
      <c r="P31" s="135"/>
      <c r="Q31" s="135"/>
      <c r="R31" s="136"/>
      <c r="S31" s="134" t="s">
        <v>30</v>
      </c>
      <c r="T31" s="135"/>
      <c r="U31" s="135"/>
      <c r="V31" s="135"/>
      <c r="W31" s="135"/>
      <c r="X31" s="135"/>
      <c r="Y31" s="136"/>
      <c r="Z31" s="134" t="s">
        <v>69</v>
      </c>
      <c r="AA31" s="135"/>
      <c r="AB31" s="135"/>
      <c r="AC31" s="135"/>
      <c r="AD31" s="135"/>
      <c r="AE31" s="135"/>
      <c r="AF31" s="136"/>
      <c r="AG31" s="19"/>
    </row>
    <row r="32" spans="2:33" ht="27" customHeight="1" x14ac:dyDescent="0.25">
      <c r="B32" s="5"/>
      <c r="C32" s="184" t="s">
        <v>107</v>
      </c>
      <c r="D32" s="185"/>
      <c r="E32" s="185"/>
      <c r="F32" s="185"/>
      <c r="G32" s="185"/>
      <c r="H32" s="189" t="s">
        <v>107</v>
      </c>
      <c r="I32" s="189"/>
      <c r="J32" s="189"/>
      <c r="K32" s="189"/>
      <c r="L32" s="199"/>
      <c r="M32" s="200"/>
      <c r="N32" s="200"/>
      <c r="O32" s="200"/>
      <c r="P32" s="200"/>
      <c r="Q32" s="200"/>
      <c r="R32" s="93" t="s">
        <v>33</v>
      </c>
      <c r="S32" s="199"/>
      <c r="T32" s="200"/>
      <c r="U32" s="200"/>
      <c r="V32" s="200"/>
      <c r="W32" s="200"/>
      <c r="X32" s="200"/>
      <c r="Y32" s="93" t="s">
        <v>33</v>
      </c>
      <c r="Z32" s="199"/>
      <c r="AA32" s="200"/>
      <c r="AB32" s="200"/>
      <c r="AC32" s="200"/>
      <c r="AD32" s="200"/>
      <c r="AE32" s="200"/>
      <c r="AF32" s="93" t="s">
        <v>33</v>
      </c>
      <c r="AG32" s="9"/>
    </row>
    <row r="33" spans="2:34" ht="9" customHeight="1" x14ac:dyDescent="0.25">
      <c r="B33" s="5"/>
      <c r="C33" s="9"/>
      <c r="D33" s="84"/>
      <c r="E33" s="85"/>
      <c r="F33" s="9"/>
      <c r="G33" s="9"/>
      <c r="H33" s="9"/>
      <c r="I33" s="9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2:34" ht="23.25" customHeight="1" x14ac:dyDescent="0.25">
      <c r="C34" s="94" t="s">
        <v>70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7"/>
      <c r="AG34" s="18"/>
    </row>
    <row r="35" spans="2:34" ht="5.25" customHeight="1" x14ac:dyDescent="0.25">
      <c r="C35" s="1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2:34" ht="29.25" customHeight="1" x14ac:dyDescent="0.35">
      <c r="C36" s="196" t="s">
        <v>100</v>
      </c>
      <c r="D36" s="197"/>
      <c r="E36" s="197"/>
      <c r="F36" s="197"/>
      <c r="G36" s="198"/>
      <c r="H36" s="186" t="s">
        <v>109</v>
      </c>
      <c r="I36" s="187"/>
      <c r="J36" s="187"/>
      <c r="K36" s="188"/>
      <c r="L36" s="134" t="s">
        <v>29</v>
      </c>
      <c r="M36" s="135"/>
      <c r="N36" s="135"/>
      <c r="O36" s="135"/>
      <c r="P36" s="135"/>
      <c r="Q36" s="135"/>
      <c r="R36" s="136"/>
      <c r="S36" s="134" t="s">
        <v>30</v>
      </c>
      <c r="T36" s="135"/>
      <c r="U36" s="135"/>
      <c r="V36" s="135"/>
      <c r="W36" s="135"/>
      <c r="X36" s="135"/>
      <c r="Y36" s="136"/>
      <c r="Z36" s="134" t="s">
        <v>69</v>
      </c>
      <c r="AA36" s="135"/>
      <c r="AB36" s="135"/>
      <c r="AC36" s="135"/>
      <c r="AD36" s="135"/>
      <c r="AE36" s="135"/>
      <c r="AF36" s="136"/>
      <c r="AG36" s="19"/>
    </row>
    <row r="37" spans="2:34" ht="27" customHeight="1" x14ac:dyDescent="0.25">
      <c r="B37" s="5"/>
      <c r="C37" s="137"/>
      <c r="D37" s="138"/>
      <c r="E37" s="138"/>
      <c r="F37" s="138"/>
      <c r="G37" s="138"/>
      <c r="H37" s="209"/>
      <c r="I37" s="209"/>
      <c r="J37" s="209"/>
      <c r="K37" s="209"/>
      <c r="L37" s="140"/>
      <c r="M37" s="141"/>
      <c r="N37" s="141"/>
      <c r="O37" s="141"/>
      <c r="P37" s="141"/>
      <c r="Q37" s="141"/>
      <c r="R37" s="93" t="s">
        <v>33</v>
      </c>
      <c r="S37" s="140"/>
      <c r="T37" s="141"/>
      <c r="U37" s="141"/>
      <c r="V37" s="141"/>
      <c r="W37" s="141"/>
      <c r="X37" s="141"/>
      <c r="Y37" s="93" t="s">
        <v>33</v>
      </c>
      <c r="Z37" s="140"/>
      <c r="AA37" s="141"/>
      <c r="AB37" s="141"/>
      <c r="AC37" s="141"/>
      <c r="AD37" s="141"/>
      <c r="AE37" s="141"/>
      <c r="AF37" s="93" t="s">
        <v>33</v>
      </c>
      <c r="AG37" s="9"/>
    </row>
    <row r="38" spans="2:34" ht="9" customHeight="1" x14ac:dyDescent="0.25">
      <c r="B38" s="9"/>
      <c r="C38" s="10"/>
      <c r="D38" s="11"/>
      <c r="E38" s="12"/>
      <c r="F38" s="13"/>
      <c r="G38" s="13"/>
      <c r="H38" s="13"/>
      <c r="I38" s="13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5"/>
      <c r="AG38" s="15"/>
      <c r="AH38" s="2"/>
    </row>
    <row r="39" spans="2:34" ht="23.25" customHeight="1" x14ac:dyDescent="0.25">
      <c r="C39" s="94" t="s">
        <v>71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7"/>
      <c r="AG39" s="18"/>
    </row>
    <row r="40" spans="2:34" ht="5.25" customHeight="1" x14ac:dyDescent="0.25">
      <c r="C40" s="19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2:34" ht="29.25" customHeight="1" x14ac:dyDescent="0.35">
      <c r="C41" s="196" t="s">
        <v>100</v>
      </c>
      <c r="D41" s="197"/>
      <c r="E41" s="197"/>
      <c r="F41" s="197"/>
      <c r="G41" s="198"/>
      <c r="H41" s="186" t="s">
        <v>109</v>
      </c>
      <c r="I41" s="187"/>
      <c r="J41" s="187"/>
      <c r="K41" s="188"/>
      <c r="L41" s="134" t="s">
        <v>29</v>
      </c>
      <c r="M41" s="135"/>
      <c r="N41" s="135"/>
      <c r="O41" s="135"/>
      <c r="P41" s="135"/>
      <c r="Q41" s="135"/>
      <c r="R41" s="136"/>
      <c r="S41" s="134" t="s">
        <v>30</v>
      </c>
      <c r="T41" s="135"/>
      <c r="U41" s="135"/>
      <c r="V41" s="135"/>
      <c r="W41" s="135"/>
      <c r="X41" s="135"/>
      <c r="Y41" s="136"/>
      <c r="Z41" s="134" t="s">
        <v>69</v>
      </c>
      <c r="AA41" s="135"/>
      <c r="AB41" s="135"/>
      <c r="AC41" s="135"/>
      <c r="AD41" s="135"/>
      <c r="AE41" s="135"/>
      <c r="AF41" s="136"/>
      <c r="AG41" s="19"/>
    </row>
    <row r="42" spans="2:34" ht="27" customHeight="1" x14ac:dyDescent="0.25">
      <c r="B42" s="5"/>
      <c r="C42" s="137"/>
      <c r="D42" s="138"/>
      <c r="E42" s="138"/>
      <c r="F42" s="138"/>
      <c r="G42" s="138"/>
      <c r="H42" s="139" t="s">
        <v>107</v>
      </c>
      <c r="I42" s="139"/>
      <c r="J42" s="139"/>
      <c r="K42" s="139"/>
      <c r="L42" s="140"/>
      <c r="M42" s="141"/>
      <c r="N42" s="141"/>
      <c r="O42" s="141"/>
      <c r="P42" s="141"/>
      <c r="Q42" s="141"/>
      <c r="R42" s="93" t="s">
        <v>33</v>
      </c>
      <c r="S42" s="140"/>
      <c r="T42" s="141"/>
      <c r="U42" s="141"/>
      <c r="V42" s="141"/>
      <c r="W42" s="141"/>
      <c r="X42" s="141"/>
      <c r="Y42" s="93" t="s">
        <v>33</v>
      </c>
      <c r="Z42" s="140"/>
      <c r="AA42" s="141"/>
      <c r="AB42" s="141"/>
      <c r="AC42" s="141"/>
      <c r="AD42" s="141"/>
      <c r="AE42" s="141"/>
      <c r="AF42" s="93" t="s">
        <v>33</v>
      </c>
      <c r="AG42" s="9"/>
    </row>
    <row r="43" spans="2:34" ht="9" customHeight="1" x14ac:dyDescent="0.25">
      <c r="B43" s="16"/>
      <c r="C43" s="82"/>
      <c r="D43" s="11"/>
      <c r="E43" s="83"/>
      <c r="F43" s="2"/>
      <c r="G43" s="2"/>
      <c r="H43" s="13"/>
      <c r="I43" s="13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2:34" ht="23.25" customHeight="1" x14ac:dyDescent="0.25">
      <c r="C44" s="94" t="s">
        <v>72</v>
      </c>
      <c r="D44" s="94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7"/>
      <c r="AG44" s="18"/>
    </row>
    <row r="45" spans="2:34" ht="5.25" customHeight="1" x14ac:dyDescent="0.25">
      <c r="C45" s="19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2:34" ht="29.25" customHeight="1" x14ac:dyDescent="0.35">
      <c r="C46" s="193" t="s">
        <v>74</v>
      </c>
      <c r="D46" s="194"/>
      <c r="E46" s="194"/>
      <c r="F46" s="194"/>
      <c r="G46" s="195"/>
      <c r="H46" s="186" t="s">
        <v>110</v>
      </c>
      <c r="I46" s="187"/>
      <c r="J46" s="187"/>
      <c r="K46" s="188"/>
      <c r="L46" s="134" t="s">
        <v>29</v>
      </c>
      <c r="M46" s="135"/>
      <c r="N46" s="135"/>
      <c r="O46" s="135"/>
      <c r="P46" s="135"/>
      <c r="Q46" s="135"/>
      <c r="R46" s="136"/>
      <c r="S46" s="134" t="s">
        <v>30</v>
      </c>
      <c r="T46" s="135"/>
      <c r="U46" s="135"/>
      <c r="V46" s="135"/>
      <c r="W46" s="135"/>
      <c r="X46" s="135"/>
      <c r="Y46" s="136"/>
      <c r="Z46" s="134" t="s">
        <v>69</v>
      </c>
      <c r="AA46" s="135"/>
      <c r="AB46" s="135"/>
      <c r="AC46" s="135"/>
      <c r="AD46" s="135"/>
      <c r="AE46" s="135"/>
      <c r="AF46" s="136"/>
      <c r="AG46" s="19"/>
    </row>
    <row r="47" spans="2:34" ht="27" customHeight="1" x14ac:dyDescent="0.25">
      <c r="B47" s="5"/>
      <c r="C47" s="137"/>
      <c r="D47" s="138"/>
      <c r="E47" s="138"/>
      <c r="F47" s="138"/>
      <c r="G47" s="138"/>
      <c r="H47" s="139" t="s">
        <v>107</v>
      </c>
      <c r="I47" s="139"/>
      <c r="J47" s="139"/>
      <c r="K47" s="139"/>
      <c r="L47" s="140"/>
      <c r="M47" s="141"/>
      <c r="N47" s="141"/>
      <c r="O47" s="141"/>
      <c r="P47" s="141"/>
      <c r="Q47" s="141"/>
      <c r="R47" s="93" t="s">
        <v>33</v>
      </c>
      <c r="S47" s="140"/>
      <c r="T47" s="141"/>
      <c r="U47" s="141"/>
      <c r="V47" s="141"/>
      <c r="W47" s="141"/>
      <c r="X47" s="141"/>
      <c r="Y47" s="93" t="s">
        <v>33</v>
      </c>
      <c r="Z47" s="140"/>
      <c r="AA47" s="141"/>
      <c r="AB47" s="141"/>
      <c r="AC47" s="141"/>
      <c r="AD47" s="141"/>
      <c r="AE47" s="141"/>
      <c r="AF47" s="93" t="s">
        <v>33</v>
      </c>
      <c r="AG47" s="9"/>
    </row>
    <row r="48" spans="2:34" ht="9.75" customHeight="1" x14ac:dyDescent="0.25">
      <c r="B48" s="16"/>
      <c r="C48" s="82"/>
      <c r="D48" s="11"/>
      <c r="E48" s="83"/>
      <c r="F48" s="2"/>
      <c r="G48" s="2"/>
      <c r="H48" s="13"/>
      <c r="I48" s="13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2:33" ht="27.75" customHeight="1" x14ac:dyDescent="0.25">
      <c r="B49" s="16"/>
      <c r="C49" s="82"/>
      <c r="D49" s="17"/>
      <c r="E49" s="191" t="s">
        <v>31</v>
      </c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7"/>
      <c r="R49" s="17"/>
      <c r="S49" s="192" t="s">
        <v>32</v>
      </c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7"/>
      <c r="AF49" s="17"/>
      <c r="AG49" s="17"/>
    </row>
    <row r="50" spans="2:33" ht="32.25" customHeight="1" thickBot="1" x14ac:dyDescent="0.35">
      <c r="D50" s="96" t="s">
        <v>73</v>
      </c>
      <c r="E50" s="100"/>
      <c r="R50" s="86"/>
      <c r="U50" s="92"/>
      <c r="V50" s="190" t="str">
        <f ca="1">"(試算日:"&amp;TEXT(TODAY(),"ggge年m月d日"&amp;")")</f>
        <v>(試算日:令和7年3月5日)</v>
      </c>
      <c r="W50" s="190"/>
      <c r="X50" s="190"/>
      <c r="Y50" s="190"/>
      <c r="Z50" s="190"/>
      <c r="AA50" s="190"/>
      <c r="AB50" s="190"/>
      <c r="AC50" s="190"/>
      <c r="AD50" s="87"/>
    </row>
    <row r="51" spans="2:33" ht="24.75" customHeight="1" thickBot="1" x14ac:dyDescent="0.3">
      <c r="C51" s="20"/>
      <c r="D51" s="152" t="s">
        <v>127</v>
      </c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3"/>
      <c r="P51" s="152"/>
      <c r="Q51" s="155" t="str">
        <f>計算!N3</f>
        <v>資格取得月入力エラー</v>
      </c>
      <c r="R51" s="156"/>
      <c r="S51" s="156"/>
      <c r="T51" s="156"/>
      <c r="U51" s="156"/>
      <c r="V51" s="156"/>
      <c r="W51" s="99" t="s">
        <v>60</v>
      </c>
      <c r="X51" s="97" t="s">
        <v>61</v>
      </c>
      <c r="Y51" s="157" t="str">
        <f>IF(I55="資格取得月入力エラー","***",I55)</f>
        <v>***</v>
      </c>
      <c r="Z51" s="158"/>
      <c r="AA51" s="154" t="s">
        <v>59</v>
      </c>
      <c r="AB51" s="154"/>
      <c r="AC51" s="98" t="s">
        <v>58</v>
      </c>
      <c r="AD51" s="148" t="s">
        <v>36</v>
      </c>
      <c r="AE51" s="148"/>
      <c r="AF51" s="18"/>
    </row>
    <row r="52" spans="2:33" s="67" customFormat="1" ht="11.25" customHeight="1" x14ac:dyDescent="0.25">
      <c r="C52" s="68"/>
      <c r="D52" s="69"/>
      <c r="E52" s="69"/>
      <c r="F52" s="69"/>
      <c r="G52" s="69"/>
      <c r="H52" s="69"/>
      <c r="I52" s="79"/>
      <c r="J52" s="79"/>
      <c r="K52" s="79"/>
      <c r="L52" s="79"/>
      <c r="M52" s="79"/>
      <c r="N52" s="79"/>
      <c r="O52" s="80"/>
      <c r="P52" s="81"/>
      <c r="Q52" s="70"/>
      <c r="R52" s="70"/>
      <c r="S52" s="70"/>
      <c r="T52" s="70"/>
      <c r="U52" s="70"/>
      <c r="V52" s="70"/>
      <c r="W52" s="70"/>
      <c r="X52" s="68"/>
      <c r="Y52" s="71"/>
      <c r="Z52" s="71"/>
      <c r="AA52" s="71"/>
      <c r="AB52" s="71"/>
      <c r="AC52" s="71"/>
      <c r="AD52" s="72"/>
      <c r="AE52" s="72"/>
      <c r="AF52" s="73"/>
    </row>
    <row r="53" spans="2:33" ht="18.75" customHeight="1" x14ac:dyDescent="0.25">
      <c r="D53" s="122"/>
      <c r="E53" s="123" t="s">
        <v>62</v>
      </c>
      <c r="F53" s="123"/>
      <c r="G53" s="123"/>
      <c r="H53" s="124"/>
      <c r="I53" s="168" t="str">
        <f>計算!D17</f>
        <v>年齢選択エラー</v>
      </c>
      <c r="J53" s="149" t="str">
        <f>IF(I53="年齢選択エラー","年齢選択エラー",IF(I53="",0,VLOOKUP(I53,設定!$A$13:$B$18,2,0)))</f>
        <v>年齢選択エラー</v>
      </c>
      <c r="K53" s="150"/>
      <c r="L53" s="150"/>
      <c r="M53" s="150"/>
      <c r="N53" s="150"/>
      <c r="O53" s="150"/>
      <c r="P53" s="170"/>
      <c r="Q53" s="166" t="s">
        <v>35</v>
      </c>
      <c r="R53" s="142" t="s">
        <v>102</v>
      </c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4"/>
      <c r="AF53" s="21"/>
    </row>
    <row r="54" spans="2:33" ht="18.75" customHeight="1" x14ac:dyDescent="0.25">
      <c r="C54" s="22"/>
      <c r="D54" s="125"/>
      <c r="E54" s="126"/>
      <c r="F54" s="126"/>
      <c r="G54" s="126"/>
      <c r="H54" s="127"/>
      <c r="I54" s="169"/>
      <c r="J54" s="151"/>
      <c r="K54" s="151"/>
      <c r="L54" s="151"/>
      <c r="M54" s="151"/>
      <c r="N54" s="151"/>
      <c r="O54" s="151"/>
      <c r="P54" s="171"/>
      <c r="Q54" s="167"/>
      <c r="R54" s="145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7"/>
      <c r="AF54" s="21"/>
    </row>
    <row r="55" spans="2:33" ht="34.5" customHeight="1" x14ac:dyDescent="0.3">
      <c r="D55" s="159" t="s">
        <v>63</v>
      </c>
      <c r="E55" s="160"/>
      <c r="F55" s="160"/>
      <c r="G55" s="160"/>
      <c r="H55" s="160"/>
      <c r="I55" s="161" t="str">
        <f>設定!C2</f>
        <v>資格取得月入力エラー</v>
      </c>
      <c r="J55" s="162"/>
      <c r="K55" s="162"/>
      <c r="L55" s="162"/>
      <c r="M55" s="162"/>
      <c r="N55" s="162"/>
      <c r="O55" s="162"/>
      <c r="P55" s="162"/>
      <c r="Q55" s="95" t="s">
        <v>34</v>
      </c>
      <c r="R55" s="163" t="s">
        <v>103</v>
      </c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3"/>
    </row>
    <row r="56" spans="2:33" ht="18" customHeight="1" x14ac:dyDescent="0.25">
      <c r="D56" s="122" t="s">
        <v>64</v>
      </c>
      <c r="E56" s="123"/>
      <c r="F56" s="123"/>
      <c r="G56" s="123"/>
      <c r="H56" s="124"/>
      <c r="I56" s="177" t="str">
        <f>IF(計算!J3="年齢選択エラー","年齢選択エラー",計算!F3-計算!J3)</f>
        <v>年齢選択エラー</v>
      </c>
      <c r="J56" s="178"/>
      <c r="K56" s="178"/>
      <c r="L56" s="178"/>
      <c r="M56" s="178"/>
      <c r="N56" s="178"/>
      <c r="O56" s="178"/>
      <c r="P56" s="178"/>
      <c r="Q56" s="166" t="s">
        <v>33</v>
      </c>
      <c r="R56" s="142" t="s">
        <v>111</v>
      </c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4"/>
      <c r="AF56" s="21"/>
    </row>
    <row r="57" spans="2:33" ht="18" customHeight="1" x14ac:dyDescent="0.25">
      <c r="C57" s="22"/>
      <c r="D57" s="125"/>
      <c r="E57" s="126"/>
      <c r="F57" s="126"/>
      <c r="G57" s="126"/>
      <c r="H57" s="127"/>
      <c r="I57" s="179"/>
      <c r="J57" s="180"/>
      <c r="K57" s="180"/>
      <c r="L57" s="180"/>
      <c r="M57" s="180"/>
      <c r="N57" s="180"/>
      <c r="O57" s="180"/>
      <c r="P57" s="180"/>
      <c r="Q57" s="167"/>
      <c r="R57" s="145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7"/>
      <c r="AF57" s="21"/>
    </row>
    <row r="58" spans="2:33" ht="35.25" customHeight="1" x14ac:dyDescent="0.3">
      <c r="D58" s="159" t="s">
        <v>65</v>
      </c>
      <c r="E58" s="160"/>
      <c r="F58" s="160"/>
      <c r="G58" s="160"/>
      <c r="H58" s="160"/>
      <c r="I58" s="174">
        <f>計算!E3</f>
        <v>0</v>
      </c>
      <c r="J58" s="175"/>
      <c r="K58" s="175"/>
      <c r="L58" s="175"/>
      <c r="M58" s="175"/>
      <c r="N58" s="175"/>
      <c r="O58" s="175"/>
      <c r="P58" s="175"/>
      <c r="Q58" s="95" t="s">
        <v>33</v>
      </c>
      <c r="R58" s="176" t="s">
        <v>75</v>
      </c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5"/>
    </row>
    <row r="59" spans="2:33" ht="35.25" customHeight="1" x14ac:dyDescent="0.3">
      <c r="D59" s="159" t="s">
        <v>66</v>
      </c>
      <c r="E59" s="160"/>
      <c r="F59" s="160"/>
      <c r="G59" s="160"/>
      <c r="H59" s="160"/>
      <c r="I59" s="161">
        <f>計算!D3*100</f>
        <v>9.0300000000000011</v>
      </c>
      <c r="J59" s="162"/>
      <c r="K59" s="162"/>
      <c r="L59" s="162"/>
      <c r="M59" s="162"/>
      <c r="N59" s="162"/>
      <c r="O59" s="162"/>
      <c r="P59" s="162"/>
      <c r="Q59" s="95" t="s">
        <v>108</v>
      </c>
      <c r="R59" s="163" t="s">
        <v>112</v>
      </c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5"/>
    </row>
    <row r="60" spans="2:33" ht="30" customHeight="1" x14ac:dyDescent="0.25">
      <c r="D60" s="122" t="s">
        <v>57</v>
      </c>
      <c r="E60" s="123"/>
      <c r="F60" s="123"/>
      <c r="G60" s="123"/>
      <c r="H60" s="124"/>
      <c r="I60" s="128" t="s">
        <v>113</v>
      </c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30"/>
      <c r="AF60" s="21"/>
    </row>
    <row r="61" spans="2:33" ht="30" customHeight="1" x14ac:dyDescent="0.25">
      <c r="C61" s="22"/>
      <c r="D61" s="125"/>
      <c r="E61" s="126"/>
      <c r="F61" s="126"/>
      <c r="G61" s="126"/>
      <c r="H61" s="127"/>
      <c r="I61" s="131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3"/>
      <c r="AF61" s="21"/>
    </row>
    <row r="62" spans="2:33" ht="1.5" customHeight="1" x14ac:dyDescent="0.25"/>
  </sheetData>
  <sheetProtection algorithmName="SHA-512" hashValue="vFR48Wt+bJww2Nl5kakGKTV6Mlf9nZgKMu7RcVf3ZxJ1WysZXDhX2nlPtgQ+4YwBMrJt1wu4LowT9MYQw/bYzA==" saltValue="Te3ox6PSt6jcfcBkyBVLQw==" spinCount="100000" sheet="1" objects="1" scenarios="1" selectLockedCells="1"/>
  <mergeCells count="71">
    <mergeCell ref="S41:Y41"/>
    <mergeCell ref="Z41:AF41"/>
    <mergeCell ref="S31:Y31"/>
    <mergeCell ref="Z31:AF31"/>
    <mergeCell ref="L32:Q32"/>
    <mergeCell ref="S32:X32"/>
    <mergeCell ref="Z32:AE32"/>
    <mergeCell ref="L31:R31"/>
    <mergeCell ref="S46:Y46"/>
    <mergeCell ref="C46:G46"/>
    <mergeCell ref="H46:K46"/>
    <mergeCell ref="S36:Y36"/>
    <mergeCell ref="Z36:AF36"/>
    <mergeCell ref="C37:G37"/>
    <mergeCell ref="H37:K37"/>
    <mergeCell ref="L37:Q37"/>
    <mergeCell ref="S37:X37"/>
    <mergeCell ref="Z37:AE37"/>
    <mergeCell ref="C36:G36"/>
    <mergeCell ref="H36:K36"/>
    <mergeCell ref="L36:R36"/>
    <mergeCell ref="C41:G41"/>
    <mergeCell ref="H41:K41"/>
    <mergeCell ref="L41:R41"/>
    <mergeCell ref="D53:D54"/>
    <mergeCell ref="E53:G54"/>
    <mergeCell ref="V50:AC50"/>
    <mergeCell ref="L47:Q47"/>
    <mergeCell ref="S47:X47"/>
    <mergeCell ref="Z47:AE47"/>
    <mergeCell ref="E49:P49"/>
    <mergeCell ref="S49:AD49"/>
    <mergeCell ref="C47:G47"/>
    <mergeCell ref="H47:K47"/>
    <mergeCell ref="C31:G31"/>
    <mergeCell ref="C32:G32"/>
    <mergeCell ref="H31:K31"/>
    <mergeCell ref="H32:K32"/>
    <mergeCell ref="L46:R46"/>
    <mergeCell ref="D59:H59"/>
    <mergeCell ref="I59:P59"/>
    <mergeCell ref="R59:AE59"/>
    <mergeCell ref="Q53:Q54"/>
    <mergeCell ref="R53:AE54"/>
    <mergeCell ref="D55:H55"/>
    <mergeCell ref="I53:I54"/>
    <mergeCell ref="P53:P54"/>
    <mergeCell ref="R55:AE55"/>
    <mergeCell ref="I55:P55"/>
    <mergeCell ref="D58:H58"/>
    <mergeCell ref="I58:P58"/>
    <mergeCell ref="R58:AE58"/>
    <mergeCell ref="D56:H57"/>
    <mergeCell ref="I56:P57"/>
    <mergeCell ref="Q56:Q57"/>
    <mergeCell ref="D60:H61"/>
    <mergeCell ref="I60:AE61"/>
    <mergeCell ref="Z46:AF46"/>
    <mergeCell ref="C42:G42"/>
    <mergeCell ref="H42:K42"/>
    <mergeCell ref="L42:Q42"/>
    <mergeCell ref="S42:X42"/>
    <mergeCell ref="Z42:AE42"/>
    <mergeCell ref="R56:AE57"/>
    <mergeCell ref="AD51:AE51"/>
    <mergeCell ref="J53:O54"/>
    <mergeCell ref="D51:P51"/>
    <mergeCell ref="AA51:AB51"/>
    <mergeCell ref="Q51:V51"/>
    <mergeCell ref="Y51:Z51"/>
    <mergeCell ref="H53:H54"/>
  </mergeCells>
  <phoneticPr fontId="4"/>
  <conditionalFormatting sqref="H47 S47:AF47">
    <cfRule type="expression" dxfId="11" priority="17">
      <formula>$C47=""</formula>
    </cfRule>
  </conditionalFormatting>
  <conditionalFormatting sqref="H32">
    <cfRule type="expression" dxfId="10" priority="11">
      <formula>$C32=""</formula>
    </cfRule>
  </conditionalFormatting>
  <conditionalFormatting sqref="H37 Z37:AF37 S37:X37">
    <cfRule type="expression" dxfId="9" priority="10">
      <formula>$C37=""</formula>
    </cfRule>
  </conditionalFormatting>
  <conditionalFormatting sqref="H42 S42:AF42">
    <cfRule type="expression" dxfId="8" priority="9">
      <formula>$C42=""</formula>
    </cfRule>
  </conditionalFormatting>
  <conditionalFormatting sqref="L32:AF32">
    <cfRule type="expression" dxfId="7" priority="8">
      <formula>$C32=""</formula>
    </cfRule>
  </conditionalFormatting>
  <conditionalFormatting sqref="Y37">
    <cfRule type="expression" dxfId="6" priority="7">
      <formula>$C37=""</formula>
    </cfRule>
  </conditionalFormatting>
  <conditionalFormatting sqref="R37">
    <cfRule type="expression" dxfId="5" priority="6">
      <formula>$C37=""</formula>
    </cfRule>
  </conditionalFormatting>
  <conditionalFormatting sqref="R42">
    <cfRule type="expression" dxfId="4" priority="5">
      <formula>$C42=""</formula>
    </cfRule>
  </conditionalFormatting>
  <conditionalFormatting sqref="R47">
    <cfRule type="expression" dxfId="3" priority="4">
      <formula>$C47=""</formula>
    </cfRule>
  </conditionalFormatting>
  <conditionalFormatting sqref="L37:Q37">
    <cfRule type="expression" dxfId="2" priority="3">
      <formula>$C37=""</formula>
    </cfRule>
  </conditionalFormatting>
  <conditionalFormatting sqref="L42:Q42">
    <cfRule type="expression" dxfId="1" priority="2">
      <formula>$C42=""</formula>
    </cfRule>
  </conditionalFormatting>
  <conditionalFormatting sqref="L47:Q47">
    <cfRule type="expression" dxfId="0" priority="1">
      <formula>$C47=""</formula>
    </cfRule>
  </conditionalFormatting>
  <dataValidations count="4">
    <dataValidation type="list" allowBlank="1" showInputMessage="1" showErrorMessage="1" sqref="D43 D48" xr:uid="{00000000-0002-0000-0000-000000000000}">
      <formula1>"○,×"</formula1>
    </dataValidation>
    <dataValidation type="list" allowBlank="1" showInputMessage="1" showErrorMessage="1" sqref="E38 E43 E48" xr:uid="{00000000-0002-0000-0000-000001000000}">
      <formula1>"4,5,6,7,8,9,10,11,12,1,2,3"</formula1>
    </dataValidation>
    <dataValidation type="list" allowBlank="1" showInputMessage="1" showErrorMessage="1" errorTitle="入力の確認" error="指定日時点の年齢を入力してください。" sqref="H47:K47 H32:K32 H37:K37 H42:K42" xr:uid="{00000000-0002-0000-0000-000002000000}">
      <formula1>"(選択してください),65歳未満,65歳以上"</formula1>
    </dataValidation>
    <dataValidation type="whole" imeMode="off" allowBlank="1" showInputMessage="1" showErrorMessage="1" errorTitle="入力エラー" error="数値を入力してください。" sqref="L47:Q47 L42:Q42 Z42:AE42 Z47:AE47 S47:X47 S42:X42 L37:Q37 Z37:AE37 S37:X37 L32:Q32 Z32:AE32 S32:X32" xr:uid="{00000000-0002-0000-0000-000003000000}">
      <formula1>-99999999999</formula1>
      <formula2>99999999999</formula2>
    </dataValidation>
  </dataValidations>
  <printOptions horizontalCentered="1"/>
  <pageMargins left="0.31496062992125984" right="0.19685039370078741" top="0.27559055118110237" bottom="0.19685039370078741" header="0.31496062992125984" footer="0.1968503937007874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の確認" error="被保険者となった月を選択してください。" xr:uid="{00000000-0002-0000-0000-000005000000}">
          <x14:formula1>
            <xm:f>資格取得月!$A$2:$A$14</xm:f>
          </x14:formula1>
          <xm:sqref>C32:G32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66FFFF"/>
  </sheetPr>
  <dimension ref="A1:K29"/>
  <sheetViews>
    <sheetView zoomScale="85" zoomScaleNormal="85" workbookViewId="0">
      <selection activeCell="D2" sqref="D2"/>
    </sheetView>
  </sheetViews>
  <sheetFormatPr defaultRowHeight="12" x14ac:dyDescent="0.25"/>
  <cols>
    <col min="1" max="2" width="16.875" style="3" bestFit="1" customWidth="1"/>
    <col min="3" max="5" width="14.375" style="3" customWidth="1"/>
    <col min="6" max="6" width="20.75" style="3" bestFit="1" customWidth="1"/>
    <col min="7" max="7" width="15.5" style="3" bestFit="1" customWidth="1"/>
    <col min="8" max="9" width="26.875" style="3" bestFit="1" customWidth="1"/>
    <col min="10" max="11" width="15.25" style="3" bestFit="1" customWidth="1"/>
    <col min="12" max="16384" width="9" style="3"/>
  </cols>
  <sheetData>
    <row r="1" spans="1:11" ht="15.75" customHeight="1" x14ac:dyDescent="0.25">
      <c r="A1" s="36"/>
      <c r="B1" s="37" t="s">
        <v>27</v>
      </c>
      <c r="C1" s="38" t="s">
        <v>22</v>
      </c>
      <c r="D1" s="40" t="s">
        <v>43</v>
      </c>
      <c r="E1" s="40" t="s">
        <v>44</v>
      </c>
      <c r="F1" s="40" t="s">
        <v>45</v>
      </c>
      <c r="G1" s="111" t="s">
        <v>90</v>
      </c>
      <c r="H1" s="111" t="s">
        <v>91</v>
      </c>
      <c r="I1" s="115" t="s">
        <v>106</v>
      </c>
      <c r="J1" s="115" t="s">
        <v>92</v>
      </c>
      <c r="K1" s="111" t="s">
        <v>98</v>
      </c>
    </row>
    <row r="2" spans="1:11" ht="15.75" customHeight="1" x14ac:dyDescent="0.25">
      <c r="A2" s="23" t="s">
        <v>39</v>
      </c>
      <c r="B2" s="91" t="str">
        <f>IF(OR(入力!C32="(選択してください)",ISBLANK(入力!C32)),"資格取得月入力エラー",入力!C32)</f>
        <v>資格取得月入力エラー</v>
      </c>
      <c r="C2" s="91" t="str">
        <f>IF(B2="資格取得月入力エラー","資格取得月入力エラー",VLOOKUP(B2,資格取得月!$A$2:$B$14,2,0))</f>
        <v>資格取得月入力エラー</v>
      </c>
      <c r="D2" s="48">
        <f>年金条件式!I3</f>
        <v>0</v>
      </c>
      <c r="E2" s="49">
        <f>VLOOKUP(入力!S32,給与所得!$B$3:$C$14,2)</f>
        <v>0</v>
      </c>
      <c r="F2" s="49">
        <f>入力!Z32</f>
        <v>0</v>
      </c>
      <c r="G2" s="111">
        <f>IF(MIN(100000,D2)+MIN(100000,E2)-100000&lt;0,0,MIN(100000,D2)+MIN(100000,E2)-100000)</f>
        <v>0</v>
      </c>
      <c r="H2" s="112">
        <f>IF(入力!H32="65歳以上",MIN(150000,D2),0)</f>
        <v>0</v>
      </c>
      <c r="I2" s="116">
        <f>IF(MIN(100000,D2-H2)+MIN(100000,E2)-100000&lt;0,0,MIN(100000,D2-H2)+MIN(100000,E2)-100000)</f>
        <v>0</v>
      </c>
      <c r="J2" s="116" t="str">
        <f>IF(入力!C32="",0,IF(入力!H32="(選択してください)","年齢選択エラー",IF(入力!H32="","年齢選択エラー",(MAX(SUM(D2-H2+E2-I2+F2),0)))))</f>
        <v>年齢選択エラー</v>
      </c>
      <c r="K2" s="111" t="str">
        <f>IF(入力!C32="",0,IF(入力!H32="(選択してください)","年齢選択エラー",IF(入力!H32="","年齢選択エラー",IF(E2+D2-H2&gt;0,1,IF(E2&gt;0,0,IF(入力!S32&gt;550000,1,0))))))</f>
        <v>年齢選択エラー</v>
      </c>
    </row>
    <row r="3" spans="1:11" ht="15.75" customHeight="1" x14ac:dyDescent="0.25">
      <c r="A3" s="26"/>
      <c r="B3" s="27"/>
      <c r="C3" s="27"/>
      <c r="D3" s="28"/>
      <c r="E3" s="29"/>
      <c r="F3" s="29"/>
    </row>
    <row r="4" spans="1:11" ht="15.75" customHeight="1" x14ac:dyDescent="0.25">
      <c r="A4" s="36"/>
      <c r="B4" s="41" t="s">
        <v>47</v>
      </c>
      <c r="C4" s="40" t="s">
        <v>43</v>
      </c>
      <c r="D4" s="40" t="s">
        <v>44</v>
      </c>
      <c r="E4" s="40" t="s">
        <v>45</v>
      </c>
      <c r="F4" s="108" t="s">
        <v>90</v>
      </c>
      <c r="G4" s="111" t="s">
        <v>91</v>
      </c>
      <c r="H4" s="115" t="s">
        <v>106</v>
      </c>
      <c r="I4" s="115" t="s">
        <v>93</v>
      </c>
      <c r="J4" s="111" t="s">
        <v>98</v>
      </c>
    </row>
    <row r="5" spans="1:11" ht="15.75" customHeight="1" x14ac:dyDescent="0.25">
      <c r="A5" s="23" t="s">
        <v>40</v>
      </c>
      <c r="B5" s="25">
        <f>IF(入力!C37="v",1,0)</f>
        <v>0</v>
      </c>
      <c r="C5" s="47">
        <f>IF(入力!C37="v",年金条件式!I4,0)</f>
        <v>0</v>
      </c>
      <c r="D5" s="48">
        <f>VLOOKUP(入力!S37,給与所得!$B$18:$C$29,2)</f>
        <v>0</v>
      </c>
      <c r="E5" s="49">
        <f>入力!Z37</f>
        <v>0</v>
      </c>
      <c r="F5" s="109">
        <f>IF(MIN(100000,C5)+MIN(100000,D5)-100000&lt;0,0,MIN(100000,C5)+MIN(100000,D5)-100000)</f>
        <v>0</v>
      </c>
      <c r="G5" s="109">
        <f>IF(入力!H37="65歳以上",MIN(150000,C5),0)</f>
        <v>0</v>
      </c>
      <c r="H5" s="117">
        <f>IF(MIN(100000,C5-G5)+MIN(100000,D5)-100000&lt;0,0,MIN(100000,C5-G5)+MIN(100000,D5)-100000)</f>
        <v>0</v>
      </c>
      <c r="I5" s="116">
        <f>IF(入力!C37="",0,IF(入力!H37="(選択してください)","年齢選択エラー",IF(入力!H37="","年齢選択エラー",(MAX(SUM(C5:E5)-H5-G5,0)))))</f>
        <v>0</v>
      </c>
      <c r="J5" s="111">
        <f>IF(入力!C37="",0,IF(入力!H37="(選択してください)","年齢選択エラー",IF(入力!H37="","年齢選択エラー",IF(D5+C5-G5&gt;0,1,IF(D5=0,IF(入力!S37&gt;550000,1,0),0)))))</f>
        <v>0</v>
      </c>
    </row>
    <row r="6" spans="1:11" ht="15.75" customHeight="1" x14ac:dyDescent="0.25">
      <c r="A6" s="30" t="s">
        <v>41</v>
      </c>
      <c r="B6" s="25">
        <f>IF(入力!C42="v",1,0)</f>
        <v>0</v>
      </c>
      <c r="C6" s="47">
        <f>IF(入力!C42="v",年金条件式!I5,0)</f>
        <v>0</v>
      </c>
      <c r="D6" s="48">
        <f>VLOOKUP(入力!S42,給与所得!$B$33:$C$44,2)</f>
        <v>0</v>
      </c>
      <c r="E6" s="48">
        <f>入力!Z42</f>
        <v>0</v>
      </c>
      <c r="F6" s="110">
        <f>IF(MIN(100000,C6)+MIN(100000,D6)-100000&lt;0,0,MIN(100000,C6)+MIN(100000,D6)-100000)</f>
        <v>0</v>
      </c>
      <c r="G6" s="109">
        <f>IF(入力!H42="65歳以上",MIN(150000,C6),0)</f>
        <v>0</v>
      </c>
      <c r="H6" s="117">
        <f>IF(MIN(100000,C6-G6)+MIN(100000,D6)-100000&lt;0,0,MIN(100000,C6-G6)+MIN(100000,D6)-100000)</f>
        <v>0</v>
      </c>
      <c r="I6" s="119">
        <f>IF(入力!C42="",0,IF(入力!H42="(選択してください)","年齢選択エラー",IF(入力!H42="","年齢選択エラー",(MAX(SUM(C6:E6)-H6-G6,0)))))</f>
        <v>0</v>
      </c>
      <c r="J6" s="111">
        <f>IF(入力!C42="",0,IF(入力!C42="(選択してください)","年齢選択エラー",IF(入力!H42="","年齢選択エラー",IF(D6+C6-G6&gt;0,1,IF(D6=0,IF(入力!S42&gt;550000,1,0),0)))))</f>
        <v>0</v>
      </c>
    </row>
    <row r="7" spans="1:11" ht="15.75" customHeight="1" x14ac:dyDescent="0.25">
      <c r="A7" s="31"/>
      <c r="B7" s="27"/>
      <c r="C7" s="28"/>
      <c r="D7" s="28"/>
      <c r="E7" s="28"/>
      <c r="F7" s="28"/>
      <c r="G7" s="28"/>
    </row>
    <row r="8" spans="1:11" ht="15.75" customHeight="1" x14ac:dyDescent="0.25">
      <c r="A8" s="42"/>
      <c r="B8" s="41" t="s">
        <v>46</v>
      </c>
      <c r="C8" s="40" t="s">
        <v>43</v>
      </c>
      <c r="D8" s="40" t="s">
        <v>44</v>
      </c>
      <c r="E8" s="40" t="s">
        <v>45</v>
      </c>
      <c r="F8" s="107" t="s">
        <v>90</v>
      </c>
      <c r="G8" s="111" t="s">
        <v>91</v>
      </c>
      <c r="H8" s="115" t="s">
        <v>106</v>
      </c>
      <c r="I8" s="115" t="s">
        <v>94</v>
      </c>
      <c r="J8" s="111" t="s">
        <v>98</v>
      </c>
    </row>
    <row r="9" spans="1:11" ht="15.75" customHeight="1" x14ac:dyDescent="0.25">
      <c r="A9" s="30" t="s">
        <v>42</v>
      </c>
      <c r="B9" s="32">
        <f>IF(ISBLANK(H47),0,入力!H47)</f>
        <v>0</v>
      </c>
      <c r="C9" s="51">
        <f>IF(入力!C47="v",年金条件式!I6,0)</f>
        <v>0</v>
      </c>
      <c r="D9" s="48">
        <f>VLOOKUP(入力!S47,給与所得!$B$48:$C$59,2)</f>
        <v>0</v>
      </c>
      <c r="E9" s="48">
        <f>入力!Z47</f>
        <v>0</v>
      </c>
      <c r="F9" s="107">
        <f>IF(MIN(100000,C9)+MIN(100000,D9)-100000&lt;0,0,MIN(100000,C9)+MIN(100000,D9)-100000)</f>
        <v>0</v>
      </c>
      <c r="G9" s="109">
        <f>IF(入力!H47="65歳以上",MIN(150000,C9),0)</f>
        <v>0</v>
      </c>
      <c r="H9" s="117">
        <f>IF(MIN(100000,C9-G9)+MIN(100000,D9)-100000&lt;0,0,MIN(100000,C9-G9)+MIN(100000,D9)-100000)</f>
        <v>0</v>
      </c>
      <c r="I9" s="116">
        <f>IF(入力!C47="",0,IF(入力!H47="(選択してください)","年齢選択エラー",IF(入力!H47="","年齢選択エラー",(MAX(SUM(C9:E9)-H9-G9,0)))))</f>
        <v>0</v>
      </c>
      <c r="J9" s="111">
        <f>IF(入力!C47="",0,IF(入力!C47="(選択してください)","年齢選択エラー",IF(入力!H47="","年齢選択エラー",IF(D9+C9-G9&gt;0,1,IF(D9=0,IF(入力!S47&gt;550000,1,0),0)))))</f>
        <v>0</v>
      </c>
    </row>
    <row r="10" spans="1:11" ht="15.75" customHeight="1" x14ac:dyDescent="0.25">
      <c r="A10" s="33"/>
      <c r="B10" s="34"/>
      <c r="C10" s="29"/>
      <c r="D10" s="33"/>
      <c r="E10" s="28"/>
      <c r="F10" s="28"/>
    </row>
    <row r="11" spans="1:11" ht="15.75" customHeight="1" x14ac:dyDescent="0.25">
      <c r="F11" s="28"/>
      <c r="H11" s="111" t="s">
        <v>95</v>
      </c>
      <c r="I11" s="111" t="s">
        <v>96</v>
      </c>
    </row>
    <row r="12" spans="1:11" ht="15.75" customHeight="1" x14ac:dyDescent="0.25">
      <c r="A12" s="39"/>
      <c r="B12" s="40" t="s">
        <v>20</v>
      </c>
      <c r="F12" s="28"/>
      <c r="H12" s="112" t="str">
        <f>IF(OR(J2="年齢選択エラー",I5="年齢選択エラー",I6="年齢選択エラー",I9="年齢選択エラー"),"年齢選択エラー",J2+I5+I6+I9)</f>
        <v>年齢選択エラー</v>
      </c>
      <c r="I12" s="111" t="s">
        <v>99</v>
      </c>
    </row>
    <row r="13" spans="1:11" ht="15.75" customHeight="1" x14ac:dyDescent="0.25">
      <c r="A13" s="65">
        <v>0.7</v>
      </c>
      <c r="B13" s="66" t="s">
        <v>53</v>
      </c>
      <c r="F13" s="28"/>
    </row>
    <row r="14" spans="1:11" ht="15.75" customHeight="1" x14ac:dyDescent="0.25">
      <c r="A14" s="65">
        <v>0.77500000000000002</v>
      </c>
      <c r="B14" s="66" t="s">
        <v>101</v>
      </c>
      <c r="F14" s="28"/>
    </row>
    <row r="15" spans="1:11" ht="15.75" customHeight="1" x14ac:dyDescent="0.25">
      <c r="A15" s="65">
        <v>0.5</v>
      </c>
      <c r="B15" s="66" t="s">
        <v>54</v>
      </c>
      <c r="F15" s="28"/>
    </row>
    <row r="16" spans="1:11" ht="15.75" customHeight="1" x14ac:dyDescent="0.25">
      <c r="A16" s="65">
        <v>0.2</v>
      </c>
      <c r="B16" s="66" t="s">
        <v>55</v>
      </c>
      <c r="F16" s="28"/>
    </row>
    <row r="17" spans="1:6" ht="15.75" customHeight="1" x14ac:dyDescent="0.25">
      <c r="A17" s="65">
        <v>0</v>
      </c>
      <c r="B17" s="66" t="s">
        <v>56</v>
      </c>
      <c r="F17" s="28"/>
    </row>
    <row r="18" spans="1:6" ht="15.75" customHeight="1" x14ac:dyDescent="0.25">
      <c r="F18" s="28"/>
    </row>
    <row r="19" spans="1:6" ht="15.75" customHeight="1" x14ac:dyDescent="0.25">
      <c r="F19" s="28"/>
    </row>
    <row r="20" spans="1:6" ht="15.75" customHeight="1" x14ac:dyDescent="0.25">
      <c r="F20" s="28"/>
    </row>
    <row r="21" spans="1:6" ht="15.75" customHeight="1" x14ac:dyDescent="0.25">
      <c r="F21" s="28"/>
    </row>
    <row r="22" spans="1:6" ht="15.75" customHeight="1" x14ac:dyDescent="0.25">
      <c r="F22" s="28"/>
    </row>
    <row r="23" spans="1:6" ht="15.75" customHeight="1" x14ac:dyDescent="0.25">
      <c r="F23" s="28"/>
    </row>
    <row r="24" spans="1:6" ht="15.75" customHeight="1" x14ac:dyDescent="0.25">
      <c r="F24" s="28"/>
    </row>
    <row r="25" spans="1:6" ht="15.75" customHeight="1" x14ac:dyDescent="0.25">
      <c r="F25" s="28"/>
    </row>
    <row r="26" spans="1:6" ht="15.75" customHeight="1" x14ac:dyDescent="0.25">
      <c r="F26" s="28"/>
    </row>
    <row r="27" spans="1:6" ht="15.75" customHeight="1" x14ac:dyDescent="0.25">
      <c r="F27" s="28"/>
    </row>
    <row r="28" spans="1:6" ht="15.75" customHeight="1" x14ac:dyDescent="0.25">
      <c r="F28" s="28"/>
    </row>
    <row r="29" spans="1:6" ht="15.75" customHeight="1" x14ac:dyDescent="0.25">
      <c r="F29" s="28"/>
    </row>
  </sheetData>
  <phoneticPr fontId="3"/>
  <pageMargins left="0.11811023622047245" right="0.11811023622047245" top="0.74803149606299213" bottom="0.47244094488188981" header="0.31496062992125984" footer="0.31496062992125984"/>
  <headerFooter>
    <oddHeader>&amp;C&amp;14&amp;A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66FFFF"/>
    <pageSetUpPr fitToPage="1"/>
  </sheetPr>
  <dimension ref="B1:M41"/>
  <sheetViews>
    <sheetView view="pageBreakPreview" topLeftCell="A8" zoomScaleNormal="85" zoomScaleSheetLayoutView="100" workbookViewId="0">
      <selection activeCell="C3" sqref="C3"/>
    </sheetView>
  </sheetViews>
  <sheetFormatPr defaultRowHeight="14.25" x14ac:dyDescent="0.25"/>
  <cols>
    <col min="3" max="5" width="20.5" customWidth="1"/>
    <col min="6" max="6" width="20.625" bestFit="1" customWidth="1"/>
    <col min="7" max="7" width="13.125" bestFit="1" customWidth="1"/>
    <col min="8" max="8" width="5.375" customWidth="1"/>
    <col min="9" max="9" width="17.25" customWidth="1"/>
    <col min="10" max="10" width="20.125" bestFit="1" customWidth="1"/>
    <col min="11" max="11" width="13.125" bestFit="1" customWidth="1"/>
    <col min="12" max="12" width="26.875" bestFit="1" customWidth="1"/>
    <col min="13" max="13" width="20.625" bestFit="1" customWidth="1"/>
  </cols>
  <sheetData>
    <row r="1" spans="2:13" x14ac:dyDescent="0.25">
      <c r="C1" t="s">
        <v>82</v>
      </c>
    </row>
    <row r="2" spans="2:13" x14ac:dyDescent="0.25">
      <c r="B2" s="104"/>
      <c r="C2" s="105" t="s">
        <v>104</v>
      </c>
      <c r="D2" s="104" t="s">
        <v>105</v>
      </c>
      <c r="E2" s="104" t="s">
        <v>84</v>
      </c>
      <c r="F2" s="104" t="s">
        <v>83</v>
      </c>
      <c r="I2" s="104" t="s">
        <v>85</v>
      </c>
    </row>
    <row r="3" spans="2:13" x14ac:dyDescent="0.25">
      <c r="B3" s="104" t="s">
        <v>37</v>
      </c>
      <c r="C3" s="104">
        <f>IF(SUM(設定!E2:F2)&gt;=10000000,1,0)</f>
        <v>0</v>
      </c>
      <c r="D3" s="104">
        <f>IF(SUM(設定!E2:F2)&gt;=20000000,1,0)</f>
        <v>0</v>
      </c>
      <c r="E3" s="104">
        <f>IF(入力!H32="65歳以上",10,0)</f>
        <v>0</v>
      </c>
      <c r="F3" s="104">
        <f>SUM(C3:E3)</f>
        <v>0</v>
      </c>
      <c r="G3" t="s">
        <v>89</v>
      </c>
      <c r="I3" s="104">
        <f>IF(F3=10,VLOOKUP(入力!$L$32,$C$12:$F$16,2),IF(F3=11,VLOOKUP(入力!$L$32,$C$12:$F$16,3),IF(F3=12,VLOOKUP(入力!$L$32,$C$12:$F$16,4),IF(F3=0,VLOOKUP(入力!$L$32,J12:M16,2),IF(F3=1,VLOOKUP(入力!$L$32,J12:M16,3)*IF(F3=2,VLOOKUP(入力!$L$32,J12:M16,4)))))))</f>
        <v>0</v>
      </c>
    </row>
    <row r="4" spans="2:13" x14ac:dyDescent="0.25">
      <c r="B4" s="104" t="s">
        <v>40</v>
      </c>
      <c r="C4" s="104">
        <f>IF(SUM(設定!D5:E5)&gt;=10000000,1,0)</f>
        <v>0</v>
      </c>
      <c r="D4" s="104">
        <f>IF(SUM(設定!D5:E5)&gt;=20000000,1,0)</f>
        <v>0</v>
      </c>
      <c r="E4" s="104">
        <f>IF(入力!H37="65歳以上",10,0)</f>
        <v>0</v>
      </c>
      <c r="F4" s="104">
        <f>SUM(C4:E4)</f>
        <v>0</v>
      </c>
      <c r="G4" t="s">
        <v>86</v>
      </c>
      <c r="I4" s="104">
        <f>IF(F4=10,VLOOKUP(入力!$L$37,C20:F24,2),IF(F4=11,VLOOKUP(入力!$L$37,C20:F24,3),IF(F4=12,VLOOKUP(入力!$L$37,C20:F24,4),IF(F4=0,VLOOKUP(入力!$L$37,J20:M24,2),IF(F4=1,VLOOKUP(入力!$L$37,J20:M24,3)*IF(F4=2,VLOOKUP(入力!$L$37,J20:M24,4)))))))</f>
        <v>0</v>
      </c>
    </row>
    <row r="5" spans="2:13" x14ac:dyDescent="0.25">
      <c r="B5" s="104" t="s">
        <v>41</v>
      </c>
      <c r="C5" s="104">
        <f>IF(SUM(設定!D6:E6)&gt;=10000000,1,0)</f>
        <v>0</v>
      </c>
      <c r="D5" s="104">
        <f>IF(SUM(設定!D6:E6)&gt;=20000000,1,0)</f>
        <v>0</v>
      </c>
      <c r="E5" s="104">
        <f>IF(入力!H42="65歳以上",10,0)</f>
        <v>0</v>
      </c>
      <c r="F5" s="104">
        <f>SUM(C5:E5)</f>
        <v>0</v>
      </c>
      <c r="G5" t="s">
        <v>87</v>
      </c>
      <c r="I5" s="104">
        <f>IF(F5=10,VLOOKUP(入力!$L$42,C29:F33,2),IF(F5=11,VLOOKUP(入力!$L$42,C29:F33,3),IF(F5=12,VLOOKUP(入力!$L$42,C29:F33,4),IF(F5=0,VLOOKUP(入力!$L$42,J29:M33,2),IF(F5=1,VLOOKUP(入力!$L$42,J29:M33,3),IF(F5=2,VLOOKUP(入力!$L$42,J29:M33,4)))))))</f>
        <v>0</v>
      </c>
    </row>
    <row r="6" spans="2:13" x14ac:dyDescent="0.25">
      <c r="B6" s="104" t="s">
        <v>3</v>
      </c>
      <c r="C6" s="104">
        <f>IF(SUM(設定!D9:E9)&gt;=10000000,1,0)</f>
        <v>0</v>
      </c>
      <c r="D6" s="104">
        <f>IF(SUM(設定!D9:E9)&gt;=20000000,1,0)</f>
        <v>0</v>
      </c>
      <c r="E6" s="104">
        <f>IF(入力!H47="65歳以上",10,0)</f>
        <v>0</v>
      </c>
      <c r="F6" s="104">
        <f>SUM(C6:E6)</f>
        <v>0</v>
      </c>
      <c r="G6" t="s">
        <v>88</v>
      </c>
      <c r="I6" s="104">
        <f>IF(F6=0,VLOOKUP(入力!L47,J37:M41,2),IF(F6=1,VLOOKUP(入力!L47,J37:M41,3),IF(F6=2,VLOOKUP(入力!L47,J37:M41,4),IF(F6=10,VLOOKUP(入力!L47,C37:F41,2),IF(F6=11,VLOOKUP(入力!L47,C37:F41,3),IF(F6=12,VLOOKUP(入力!L47,C37:F41,4),""))))))</f>
        <v>0</v>
      </c>
    </row>
    <row r="9" spans="2:13" x14ac:dyDescent="0.25">
      <c r="I9" s="106"/>
    </row>
    <row r="10" spans="2:13" x14ac:dyDescent="0.25">
      <c r="H10" s="106"/>
    </row>
    <row r="11" spans="2:13" ht="16.5" customHeight="1" x14ac:dyDescent="0.25">
      <c r="B11" s="201" t="s">
        <v>38</v>
      </c>
      <c r="C11" s="202" t="s">
        <v>1</v>
      </c>
      <c r="D11" s="202"/>
      <c r="E11" s="105" t="s">
        <v>104</v>
      </c>
      <c r="F11" s="104" t="s">
        <v>105</v>
      </c>
      <c r="I11" s="201" t="s">
        <v>0</v>
      </c>
      <c r="J11" s="202" t="s">
        <v>2</v>
      </c>
      <c r="K11" s="202"/>
      <c r="L11" s="105" t="s">
        <v>104</v>
      </c>
      <c r="M11" s="104" t="s">
        <v>105</v>
      </c>
    </row>
    <row r="12" spans="2:13" ht="16.5" x14ac:dyDescent="0.25">
      <c r="B12" s="201"/>
      <c r="C12" s="43">
        <v>0</v>
      </c>
      <c r="D12" s="43">
        <f>IF(入力!$L$32&lt;=1100000,0,入力!$L$32-1100000)</f>
        <v>0</v>
      </c>
      <c r="E12" s="43">
        <f>IF(入力!$L$32&lt;=1000000,0,入力!$L$32-1000000)</f>
        <v>0</v>
      </c>
      <c r="F12" s="43">
        <f>IF(入力!$L$32&lt;=900000,0,入力!$L$32-900000)</f>
        <v>0</v>
      </c>
      <c r="I12" s="201"/>
      <c r="J12" s="43">
        <v>0</v>
      </c>
      <c r="K12" s="43">
        <f>IF(入力!$L$32&lt;=600000,0,入力!$L$32-600000)</f>
        <v>0</v>
      </c>
      <c r="L12" s="43">
        <f>IF(入力!$L$32&lt;=500000,0,入力!$L$32-500000)</f>
        <v>0</v>
      </c>
      <c r="M12" s="43">
        <f>IF(入力!$L$32&lt;=400000,0,入力!$L$32-400000)</f>
        <v>0</v>
      </c>
    </row>
    <row r="13" spans="2:13" ht="16.5" x14ac:dyDescent="0.25">
      <c r="B13" s="201"/>
      <c r="C13" s="43">
        <v>3300000</v>
      </c>
      <c r="D13" s="43">
        <f>ROUNDDOWN(入力!$L$32*0.75-275000,0)</f>
        <v>-275000</v>
      </c>
      <c r="E13" s="43">
        <f>ROUNDDOWN(入力!$L$32*0.75-175000,0)</f>
        <v>-175000</v>
      </c>
      <c r="F13" s="43">
        <f>ROUNDDOWN(入力!$L$32*0.75-75000,0)</f>
        <v>-75000</v>
      </c>
      <c r="I13" s="201"/>
      <c r="J13" s="43">
        <v>1300000</v>
      </c>
      <c r="K13" s="43">
        <f>ROUNDDOWN(入力!$L$32*0.75-275000,0)</f>
        <v>-275000</v>
      </c>
      <c r="L13" s="43">
        <f>ROUNDDOWN(入力!$L$32*0.75-175000,0)</f>
        <v>-175000</v>
      </c>
      <c r="M13" s="43">
        <f>ROUNDDOWN(入力!$L$32*0.75-75000,0)</f>
        <v>-75000</v>
      </c>
    </row>
    <row r="14" spans="2:13" ht="16.5" x14ac:dyDescent="0.25">
      <c r="B14" s="201"/>
      <c r="C14" s="43">
        <v>4100000</v>
      </c>
      <c r="D14" s="43">
        <f>ROUNDDOWN(入力!$L$32*0.85-685000,0)</f>
        <v>-685000</v>
      </c>
      <c r="E14" s="43">
        <f>ROUNDDOWN(入力!$L$32*0.85-585000,0)</f>
        <v>-585000</v>
      </c>
      <c r="F14" s="43">
        <f>ROUNDDOWN(入力!$L$32*0.85-485000,0)</f>
        <v>-485000</v>
      </c>
      <c r="I14" s="201"/>
      <c r="J14" s="43">
        <v>4100000</v>
      </c>
      <c r="K14" s="43">
        <f>ROUNDDOWN(入力!$L$32*0.85-685000,0)</f>
        <v>-685000</v>
      </c>
      <c r="L14" s="43">
        <f>ROUNDDOWN(入力!$L$32*0.85-585000,0)</f>
        <v>-585000</v>
      </c>
      <c r="M14" s="43">
        <f>ROUNDDOWN(入力!$L$32*0.85-485000,0)</f>
        <v>-485000</v>
      </c>
    </row>
    <row r="15" spans="2:13" ht="16.5" x14ac:dyDescent="0.25">
      <c r="B15" s="201"/>
      <c r="C15" s="43">
        <v>7700000</v>
      </c>
      <c r="D15" s="43">
        <f>ROUNDDOWN(入力!$L$32*0.95-1455000,0)</f>
        <v>-1455000</v>
      </c>
      <c r="E15" s="43">
        <f>ROUNDDOWN(入力!$L$32*0.95-1355000,0)</f>
        <v>-1355000</v>
      </c>
      <c r="F15" s="43">
        <f>ROUNDDOWN(入力!$L$32*0.95-1255000,0)</f>
        <v>-1255000</v>
      </c>
      <c r="I15" s="201"/>
      <c r="J15" s="43">
        <v>7700000</v>
      </c>
      <c r="K15" s="43">
        <f>ROUNDDOWN(入力!$L$32*0.95-1455000,0)</f>
        <v>-1455000</v>
      </c>
      <c r="L15" s="43">
        <f>ROUNDDOWN(入力!$L$32*0.95-1355000,0)</f>
        <v>-1355000</v>
      </c>
      <c r="M15" s="43">
        <f>ROUNDDOWN(入力!$L$32*0.95-1255000,0)</f>
        <v>-1255000</v>
      </c>
    </row>
    <row r="16" spans="2:13" ht="16.5" x14ac:dyDescent="0.25">
      <c r="B16" s="201"/>
      <c r="C16" s="43">
        <v>10000000</v>
      </c>
      <c r="D16" s="43">
        <f>ROUNDDOWN(入力!$L$32*1-1955000,0)</f>
        <v>-1955000</v>
      </c>
      <c r="E16" s="43">
        <f>ROUNDDOWN(入力!$L$32*1-1855000,0)</f>
        <v>-1855000</v>
      </c>
      <c r="F16" s="43">
        <f>ROUNDDOWN(入力!$L$32*1-1755000,0)</f>
        <v>-1755000</v>
      </c>
      <c r="I16" s="201"/>
      <c r="J16" s="43">
        <v>10000000</v>
      </c>
      <c r="K16" s="43">
        <f>ROUNDDOWN(入力!$L$32*1-1955000,0)</f>
        <v>-1955000</v>
      </c>
      <c r="L16" s="43">
        <f>ROUNDDOWN(入力!$L$32*1-1855000,0)</f>
        <v>-1855000</v>
      </c>
      <c r="M16" s="43">
        <f>ROUNDDOWN(入力!$L$32*1-1755000,0)</f>
        <v>-1755000</v>
      </c>
    </row>
    <row r="19" spans="2:13" ht="16.5" customHeight="1" x14ac:dyDescent="0.25">
      <c r="B19" s="201" t="s">
        <v>48</v>
      </c>
      <c r="C19" s="202" t="s">
        <v>1</v>
      </c>
      <c r="D19" s="202"/>
      <c r="E19" s="105" t="s">
        <v>104</v>
      </c>
      <c r="F19" s="104" t="s">
        <v>105</v>
      </c>
      <c r="I19" s="201" t="s">
        <v>0</v>
      </c>
      <c r="J19" s="202" t="s">
        <v>2</v>
      </c>
      <c r="K19" s="202"/>
      <c r="L19" s="105" t="s">
        <v>104</v>
      </c>
      <c r="M19" s="104" t="s">
        <v>105</v>
      </c>
    </row>
    <row r="20" spans="2:13" ht="16.5" x14ac:dyDescent="0.25">
      <c r="B20" s="201"/>
      <c r="C20" s="43">
        <v>0</v>
      </c>
      <c r="D20" s="43">
        <f>IF(入力!$L$37&lt;=1100000,0,入力!$L$37-1100000)</f>
        <v>0</v>
      </c>
      <c r="E20" s="43">
        <f>IF(入力!$L$37&lt;=1000000,0,入力!$L$37-1000000)</f>
        <v>0</v>
      </c>
      <c r="F20" s="43">
        <f>IF(入力!$L$37&lt;=900000,0,入力!$L$37-900000)</f>
        <v>0</v>
      </c>
      <c r="I20" s="201"/>
      <c r="J20" s="43">
        <v>0</v>
      </c>
      <c r="K20" s="43">
        <f>IF(入力!$L$37&lt;=600000,0,入力!$L$37-600000)</f>
        <v>0</v>
      </c>
      <c r="L20" s="43">
        <f>IF(入力!$L$37&lt;=500000,0,入力!$L$37-500000)</f>
        <v>0</v>
      </c>
      <c r="M20" s="43">
        <f>IF(入力!$L$37&lt;=400000,0,入力!$L$37-400000)</f>
        <v>0</v>
      </c>
    </row>
    <row r="21" spans="2:13" ht="16.5" x14ac:dyDescent="0.25">
      <c r="B21" s="201"/>
      <c r="C21" s="43">
        <v>3300000</v>
      </c>
      <c r="D21" s="43">
        <f>ROUNDDOWN(入力!$L$37*0.75-275000,0)</f>
        <v>-275000</v>
      </c>
      <c r="E21" s="43">
        <f>ROUNDDOWN(入力!$L$37*0.75-175000,0)</f>
        <v>-175000</v>
      </c>
      <c r="F21" s="43">
        <f>ROUNDDOWN(入力!$L$37*0.75-75000,0)</f>
        <v>-75000</v>
      </c>
      <c r="I21" s="201"/>
      <c r="J21" s="43">
        <v>1300000</v>
      </c>
      <c r="K21" s="43">
        <f>ROUNDDOWN(入力!$L$37*0.75-275000,0)</f>
        <v>-275000</v>
      </c>
      <c r="L21" s="43">
        <f>ROUNDDOWN(入力!$L$37*0.75-175000,0)</f>
        <v>-175000</v>
      </c>
      <c r="M21" s="43">
        <f>ROUNDDOWN(入力!$L$37*0.75-75000,0)</f>
        <v>-75000</v>
      </c>
    </row>
    <row r="22" spans="2:13" ht="16.5" x14ac:dyDescent="0.25">
      <c r="B22" s="201"/>
      <c r="C22" s="43">
        <v>4100000</v>
      </c>
      <c r="D22" s="43">
        <f>ROUNDDOWN(入力!$L$37*0.85-685000,0)</f>
        <v>-685000</v>
      </c>
      <c r="E22" s="43">
        <f>ROUNDDOWN(入力!$L$37*0.85-585000,0)</f>
        <v>-585000</v>
      </c>
      <c r="F22" s="43">
        <f>ROUNDDOWN(入力!$L$37*0.85-485000,0)</f>
        <v>-485000</v>
      </c>
      <c r="I22" s="201"/>
      <c r="J22" s="43">
        <v>4100000</v>
      </c>
      <c r="K22" s="43">
        <f>ROUNDDOWN(入力!$L$37*0.85-685000,0)</f>
        <v>-685000</v>
      </c>
      <c r="L22" s="43">
        <f>ROUNDDOWN(入力!$L$37*0.85-585000,0)</f>
        <v>-585000</v>
      </c>
      <c r="M22" s="43">
        <f>ROUNDDOWN(入力!$L$37*0.85-485000,0)</f>
        <v>-485000</v>
      </c>
    </row>
    <row r="23" spans="2:13" ht="16.5" x14ac:dyDescent="0.25">
      <c r="B23" s="201"/>
      <c r="C23" s="43">
        <v>7700000</v>
      </c>
      <c r="D23" s="43">
        <f>ROUNDDOWN(入力!$L$37*0.95-1455000,0)</f>
        <v>-1455000</v>
      </c>
      <c r="E23" s="43">
        <f>ROUNDDOWN(入力!$L$37*0.95-1355000,0)</f>
        <v>-1355000</v>
      </c>
      <c r="F23" s="43">
        <f>ROUNDDOWN(入力!$L$37*0.95-1255000,0)</f>
        <v>-1255000</v>
      </c>
      <c r="I23" s="201"/>
      <c r="J23" s="43">
        <v>7700000</v>
      </c>
      <c r="K23" s="43">
        <f>ROUNDDOWN(入力!$L$37*0.95-1455000,0)</f>
        <v>-1455000</v>
      </c>
      <c r="L23" s="43">
        <f>ROUNDDOWN(入力!$L$37*0.95-1355000,0)</f>
        <v>-1355000</v>
      </c>
      <c r="M23" s="43">
        <f>ROUNDDOWN(入力!$L$37*0.95-1255000,0)</f>
        <v>-1255000</v>
      </c>
    </row>
    <row r="24" spans="2:13" ht="16.5" x14ac:dyDescent="0.25">
      <c r="B24" s="201"/>
      <c r="C24" s="43">
        <v>10000000</v>
      </c>
      <c r="D24" s="43">
        <f>ROUNDDOWN(入力!$L$37*1-1955000,0)</f>
        <v>-1955000</v>
      </c>
      <c r="E24" s="43">
        <f>ROUNDDOWN(入力!$L$37*1-1855000,0)</f>
        <v>-1855000</v>
      </c>
      <c r="F24" s="43">
        <f>ROUNDDOWN(入力!$L$37*1-1755000,0)</f>
        <v>-1755000</v>
      </c>
      <c r="I24" s="201"/>
      <c r="J24" s="43">
        <v>10000000</v>
      </c>
      <c r="K24" s="43">
        <f>ROUNDDOWN(入力!$L$37*1-1955000,0)</f>
        <v>-1955000</v>
      </c>
      <c r="L24" s="43">
        <f>ROUNDDOWN(入力!$L$37*1-1855000,0)</f>
        <v>-1855000</v>
      </c>
      <c r="M24" s="43">
        <f>ROUNDDOWN(入力!$L$37*1-1755000,0)</f>
        <v>-1755000</v>
      </c>
    </row>
    <row r="28" spans="2:13" ht="16.5" customHeight="1" x14ac:dyDescent="0.25">
      <c r="B28" s="201" t="s">
        <v>49</v>
      </c>
      <c r="C28" s="202" t="s">
        <v>1</v>
      </c>
      <c r="D28" s="202"/>
      <c r="E28" s="105" t="s">
        <v>104</v>
      </c>
      <c r="F28" s="104" t="s">
        <v>105</v>
      </c>
      <c r="I28" s="201" t="s">
        <v>0</v>
      </c>
      <c r="J28" s="202" t="s">
        <v>2</v>
      </c>
      <c r="K28" s="202"/>
      <c r="L28" s="105" t="s">
        <v>104</v>
      </c>
      <c r="M28" s="104" t="s">
        <v>105</v>
      </c>
    </row>
    <row r="29" spans="2:13" ht="16.5" x14ac:dyDescent="0.25">
      <c r="B29" s="201"/>
      <c r="C29" s="43">
        <v>0</v>
      </c>
      <c r="D29" s="43">
        <f>IF(入力!$L$42&lt;=1100000,0,入力!$L$42-1100000)</f>
        <v>0</v>
      </c>
      <c r="E29" s="43">
        <f>IF(入力!$L$42&lt;=1000000,0,入力!$L$42-1000000)</f>
        <v>0</v>
      </c>
      <c r="F29" s="43">
        <f>IF(入力!$L$42&lt;=900000,0,入力!$L$42-900000)</f>
        <v>0</v>
      </c>
      <c r="I29" s="201"/>
      <c r="J29" s="43">
        <v>0</v>
      </c>
      <c r="K29" s="43">
        <f>IF(入力!$L$42&lt;=600000,0,入力!$L$42-600000)</f>
        <v>0</v>
      </c>
      <c r="L29" s="43">
        <f>IF(入力!$L$42&lt;=500000,0,入力!$L$42-500000)</f>
        <v>0</v>
      </c>
      <c r="M29" s="43">
        <f>IF(入力!$L$42&lt;=400000,0,入力!$L$42-400000)</f>
        <v>0</v>
      </c>
    </row>
    <row r="30" spans="2:13" ht="16.5" x14ac:dyDescent="0.25">
      <c r="B30" s="201"/>
      <c r="C30" s="43">
        <v>3300000</v>
      </c>
      <c r="D30" s="43">
        <f>ROUNDDOWN(入力!$L$42*0.75-275000,0)</f>
        <v>-275000</v>
      </c>
      <c r="E30" s="43">
        <f>ROUNDDOWN(入力!$L$42*0.75-175000,0)</f>
        <v>-175000</v>
      </c>
      <c r="F30" s="43">
        <f>ROUNDDOWN(入力!$L$42*0.75-75000,0)</f>
        <v>-75000</v>
      </c>
      <c r="I30" s="201"/>
      <c r="J30" s="43">
        <v>1300000</v>
      </c>
      <c r="K30" s="43">
        <f>ROUNDDOWN(入力!$L$42*0.75-275000,0)</f>
        <v>-275000</v>
      </c>
      <c r="L30" s="43">
        <f>ROUNDDOWN(入力!$L$42*0.75-175000,0)</f>
        <v>-175000</v>
      </c>
      <c r="M30" s="43">
        <f>ROUNDDOWN(入力!$L$42*0.75-75000,0)</f>
        <v>-75000</v>
      </c>
    </row>
    <row r="31" spans="2:13" ht="16.5" x14ac:dyDescent="0.25">
      <c r="B31" s="201"/>
      <c r="C31" s="43">
        <v>4100000</v>
      </c>
      <c r="D31" s="43">
        <f>ROUNDDOWN(入力!$L$42*0.85-685000,0)</f>
        <v>-685000</v>
      </c>
      <c r="E31" s="43">
        <f>ROUNDDOWN(入力!$L$42*0.85-585000,0)</f>
        <v>-585000</v>
      </c>
      <c r="F31" s="43">
        <f>ROUNDDOWN(入力!$L$42*0.85-485000,0)</f>
        <v>-485000</v>
      </c>
      <c r="I31" s="201"/>
      <c r="J31" s="43">
        <v>4100000</v>
      </c>
      <c r="K31" s="43">
        <f>ROUNDDOWN(入力!$L$42*0.85-685000,0)</f>
        <v>-685000</v>
      </c>
      <c r="L31" s="43">
        <f>ROUNDDOWN(入力!$L$42*0.85-585000,0)</f>
        <v>-585000</v>
      </c>
      <c r="M31" s="43">
        <f>ROUNDDOWN(入力!$L$42*0.85-485000,0)</f>
        <v>-485000</v>
      </c>
    </row>
    <row r="32" spans="2:13" ht="16.5" x14ac:dyDescent="0.25">
      <c r="B32" s="201"/>
      <c r="C32" s="43">
        <v>7700000</v>
      </c>
      <c r="D32" s="43">
        <f>ROUNDDOWN(入力!$L$42*0.95-1455000,0)</f>
        <v>-1455000</v>
      </c>
      <c r="E32" s="43">
        <f>ROUNDDOWN(入力!$L$42*0.95-1355000,0)</f>
        <v>-1355000</v>
      </c>
      <c r="F32" s="43">
        <f>ROUNDDOWN(入力!$L$42*0.95-1255000,0)</f>
        <v>-1255000</v>
      </c>
      <c r="I32" s="201"/>
      <c r="J32" s="43">
        <v>7700000</v>
      </c>
      <c r="K32" s="43">
        <f>ROUNDDOWN(入力!$L$42*0.95-1455000,0)</f>
        <v>-1455000</v>
      </c>
      <c r="L32" s="43">
        <f>ROUNDDOWN(入力!$L$42*0.95-1355000,0)</f>
        <v>-1355000</v>
      </c>
      <c r="M32" s="43">
        <f>ROUNDDOWN(入力!$L$42*0.95-1255000,0)</f>
        <v>-1255000</v>
      </c>
    </row>
    <row r="33" spans="2:13" ht="16.5" x14ac:dyDescent="0.25">
      <c r="B33" s="201"/>
      <c r="C33" s="43">
        <v>10000000</v>
      </c>
      <c r="D33" s="43">
        <f>ROUNDDOWN(入力!$L$42*1-1955000,0)</f>
        <v>-1955000</v>
      </c>
      <c r="E33" s="43">
        <f>ROUNDDOWN(入力!$L$42*1-1855000,0)</f>
        <v>-1855000</v>
      </c>
      <c r="F33" s="43">
        <f>ROUNDDOWN(入力!$L$42*1-1755000,0)</f>
        <v>-1755000</v>
      </c>
      <c r="I33" s="201"/>
      <c r="J33" s="43">
        <v>10000000</v>
      </c>
      <c r="K33" s="43">
        <f>ROUNDDOWN(入力!$L$42*1-1955000,0)</f>
        <v>-1955000</v>
      </c>
      <c r="L33" s="43">
        <f>ROUNDDOWN(入力!$L$42*1-1855000,0)</f>
        <v>-1855000</v>
      </c>
      <c r="M33" s="43">
        <f>ROUNDDOWN(入力!$L$42*1-1755000,0)</f>
        <v>-1755000</v>
      </c>
    </row>
    <row r="36" spans="2:13" ht="16.5" x14ac:dyDescent="0.25">
      <c r="B36" s="201" t="s">
        <v>0</v>
      </c>
      <c r="C36" s="202" t="s">
        <v>1</v>
      </c>
      <c r="D36" s="202"/>
      <c r="E36" s="105" t="s">
        <v>104</v>
      </c>
      <c r="F36" s="104" t="s">
        <v>105</v>
      </c>
      <c r="I36" s="201" t="s">
        <v>0</v>
      </c>
      <c r="J36" s="202" t="s">
        <v>2</v>
      </c>
      <c r="K36" s="202"/>
      <c r="L36" s="105" t="s">
        <v>104</v>
      </c>
      <c r="M36" s="104" t="s">
        <v>105</v>
      </c>
    </row>
    <row r="37" spans="2:13" ht="16.5" x14ac:dyDescent="0.25">
      <c r="B37" s="201"/>
      <c r="C37" s="43">
        <v>0</v>
      </c>
      <c r="D37" s="43">
        <f>IF(入力!$L$47&lt;=1100000,0,入力!$L$47-1100000)</f>
        <v>0</v>
      </c>
      <c r="E37" s="43">
        <f>IF(入力!$L$47&lt;=1000000,0,入力!$L$47-1000000)</f>
        <v>0</v>
      </c>
      <c r="F37" s="43">
        <f>IF(入力!$L$47&lt;=900000,0,入力!$L$47-900000)</f>
        <v>0</v>
      </c>
      <c r="I37" s="201"/>
      <c r="J37" s="43">
        <v>0</v>
      </c>
      <c r="K37" s="43">
        <f>IF(入力!$L$47&lt;=600000,0,入力!$L$47-600000)</f>
        <v>0</v>
      </c>
      <c r="L37" s="43">
        <f>IF(入力!$L$47&lt;=500000,0,入力!$L$47-500000)</f>
        <v>0</v>
      </c>
      <c r="M37" s="43">
        <f>IF(入力!$L$47&lt;=400000,0,入力!$L$47-400000)</f>
        <v>0</v>
      </c>
    </row>
    <row r="38" spans="2:13" ht="16.5" x14ac:dyDescent="0.25">
      <c r="B38" s="201"/>
      <c r="C38" s="43">
        <v>3300000</v>
      </c>
      <c r="D38" s="43">
        <f>ROUNDDOWN(入力!$L$47*0.75-275000,0)</f>
        <v>-275000</v>
      </c>
      <c r="E38" s="43">
        <f>ROUNDDOWN(入力!$L$47*0.75-175000,0)</f>
        <v>-175000</v>
      </c>
      <c r="F38" s="43">
        <f>ROUNDDOWN(入力!$L$47*0.75-75000,0)</f>
        <v>-75000</v>
      </c>
      <c r="I38" s="201"/>
      <c r="J38" s="43">
        <v>1300000</v>
      </c>
      <c r="K38" s="43">
        <f>ROUNDDOWN(入力!$L$47*0.75-275000,0)</f>
        <v>-275000</v>
      </c>
      <c r="L38" s="43">
        <f>ROUNDDOWN(入力!$L$47*0.75-175000,0)</f>
        <v>-175000</v>
      </c>
      <c r="M38" s="43">
        <f>ROUNDDOWN(入力!$L$47*0.75-75000,0)</f>
        <v>-75000</v>
      </c>
    </row>
    <row r="39" spans="2:13" ht="16.5" x14ac:dyDescent="0.25">
      <c r="B39" s="201"/>
      <c r="C39" s="43">
        <v>4100000</v>
      </c>
      <c r="D39" s="43">
        <f>ROUNDDOWN(入力!$L$47*0.85-685000,0)</f>
        <v>-685000</v>
      </c>
      <c r="E39" s="43">
        <f>ROUNDDOWN(入力!$L$47*0.85-585000,0)</f>
        <v>-585000</v>
      </c>
      <c r="F39" s="43">
        <f>ROUNDDOWN(入力!$L$47*0.85-485000,0)</f>
        <v>-485000</v>
      </c>
      <c r="I39" s="201"/>
      <c r="J39" s="43">
        <v>4100000</v>
      </c>
      <c r="K39" s="43">
        <f>ROUNDDOWN(入力!$L$47*0.85-685000,0)</f>
        <v>-685000</v>
      </c>
      <c r="L39" s="43">
        <f>ROUNDDOWN(入力!$L$47*0.85-585000,0)</f>
        <v>-585000</v>
      </c>
      <c r="M39" s="43">
        <f>ROUNDDOWN(入力!$L$47*0.85-485000,0)</f>
        <v>-485000</v>
      </c>
    </row>
    <row r="40" spans="2:13" ht="16.5" x14ac:dyDescent="0.25">
      <c r="B40" s="201"/>
      <c r="C40" s="43">
        <v>7700000</v>
      </c>
      <c r="D40" s="43">
        <f>ROUNDDOWN(入力!$L$47*0.95-1455000,0)</f>
        <v>-1455000</v>
      </c>
      <c r="E40" s="43">
        <f>ROUNDDOWN(入力!$L$47*0.95-1355000,0)</f>
        <v>-1355000</v>
      </c>
      <c r="F40" s="43">
        <f>ROUNDDOWN(入力!$L$47*0.95-1255000,0)</f>
        <v>-1255000</v>
      </c>
      <c r="I40" s="201"/>
      <c r="J40" s="43">
        <v>7700000</v>
      </c>
      <c r="K40" s="43">
        <f>ROUNDDOWN(入力!$L$47*0.95-1455000,0)</f>
        <v>-1455000</v>
      </c>
      <c r="L40" s="43">
        <f>ROUNDDOWN(入力!$L$47*0.95-1355000,0)</f>
        <v>-1355000</v>
      </c>
      <c r="M40" s="43">
        <f>ROUNDDOWN(入力!$L$47*0.95-1255000,0)</f>
        <v>-1255000</v>
      </c>
    </row>
    <row r="41" spans="2:13" ht="16.5" x14ac:dyDescent="0.25">
      <c r="B41" s="201"/>
      <c r="C41" s="43">
        <v>10000000</v>
      </c>
      <c r="D41" s="43">
        <f>ROUNDDOWN(入力!$L$47*1-1955000,0)</f>
        <v>-1955000</v>
      </c>
      <c r="E41" s="43">
        <f>ROUNDDOWN(入力!$L$47*1-1855000,0)</f>
        <v>-1855000</v>
      </c>
      <c r="F41" s="43">
        <f>ROUNDDOWN(入力!$L$47*1-1755000,0)</f>
        <v>-1755000</v>
      </c>
      <c r="I41" s="201"/>
      <c r="J41" s="43">
        <v>10000000</v>
      </c>
      <c r="K41" s="43">
        <f>ROUNDDOWN(入力!$L$47*1-1955000,0)</f>
        <v>-1955000</v>
      </c>
      <c r="L41" s="43">
        <f>ROUNDDOWN(入力!$L$47*1-1855000,0)</f>
        <v>-1855000</v>
      </c>
      <c r="M41" s="43">
        <f>ROUNDDOWN(入力!$L$47*1-1755000,0)</f>
        <v>-1755000</v>
      </c>
    </row>
  </sheetData>
  <mergeCells count="16">
    <mergeCell ref="I36:I41"/>
    <mergeCell ref="J36:K36"/>
    <mergeCell ref="B28:B33"/>
    <mergeCell ref="C28:D28"/>
    <mergeCell ref="I11:I16"/>
    <mergeCell ref="J11:K11"/>
    <mergeCell ref="I19:I24"/>
    <mergeCell ref="J19:K19"/>
    <mergeCell ref="I28:I33"/>
    <mergeCell ref="J28:K28"/>
    <mergeCell ref="C19:D19"/>
    <mergeCell ref="B11:B16"/>
    <mergeCell ref="B19:B24"/>
    <mergeCell ref="C11:D11"/>
    <mergeCell ref="B36:B41"/>
    <mergeCell ref="C36:D3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66FFFF"/>
    <pageSetUpPr fitToPage="1"/>
  </sheetPr>
  <dimension ref="A1:E59"/>
  <sheetViews>
    <sheetView topLeftCell="A23" zoomScale="85" zoomScaleNormal="85" workbookViewId="0">
      <selection activeCell="E46" sqref="E46"/>
    </sheetView>
  </sheetViews>
  <sheetFormatPr defaultRowHeight="14.25" x14ac:dyDescent="0.25"/>
  <cols>
    <col min="1" max="1" width="3.75" customWidth="1"/>
    <col min="2" max="3" width="13.875" customWidth="1"/>
  </cols>
  <sheetData>
    <row r="1" spans="1:5" s="28" customFormat="1" ht="15.75" customHeight="1" x14ac:dyDescent="0.25">
      <c r="A1" s="201" t="s">
        <v>38</v>
      </c>
      <c r="B1" s="203" t="s">
        <v>128</v>
      </c>
      <c r="C1" s="204"/>
    </row>
    <row r="2" spans="1:5" s="28" customFormat="1" ht="15.75" customHeight="1" x14ac:dyDescent="0.25">
      <c r="A2" s="201"/>
      <c r="B2" s="45" t="s">
        <v>4</v>
      </c>
      <c r="C2" s="40" t="s">
        <v>5</v>
      </c>
    </row>
    <row r="3" spans="1:5" s="28" customFormat="1" ht="15.75" customHeight="1" x14ac:dyDescent="0.25">
      <c r="A3" s="201"/>
      <c r="B3" s="46">
        <v>0</v>
      </c>
      <c r="C3" s="35">
        <v>0</v>
      </c>
      <c r="E3" s="28" t="s">
        <v>77</v>
      </c>
    </row>
    <row r="4" spans="1:5" s="28" customFormat="1" ht="15.75" customHeight="1" x14ac:dyDescent="0.25">
      <c r="A4" s="201"/>
      <c r="B4" s="46">
        <v>551000</v>
      </c>
      <c r="C4" s="35">
        <f>入力!S32-550000</f>
        <v>-550000</v>
      </c>
    </row>
    <row r="5" spans="1:5" s="28" customFormat="1" ht="15.75" customHeight="1" x14ac:dyDescent="0.25">
      <c r="A5" s="201"/>
      <c r="B5" s="46">
        <v>1619000</v>
      </c>
      <c r="C5" s="35">
        <v>1069000</v>
      </c>
    </row>
    <row r="6" spans="1:5" s="28" customFormat="1" ht="15.75" customHeight="1" x14ac:dyDescent="0.25">
      <c r="A6" s="201"/>
      <c r="B6" s="46">
        <v>1620000</v>
      </c>
      <c r="C6" s="35">
        <v>1070000</v>
      </c>
    </row>
    <row r="7" spans="1:5" s="28" customFormat="1" ht="14.25" customHeight="1" x14ac:dyDescent="0.25">
      <c r="A7" s="201"/>
      <c r="B7" s="46">
        <v>1622000</v>
      </c>
      <c r="C7" s="35">
        <v>1072000</v>
      </c>
    </row>
    <row r="8" spans="1:5" s="28" customFormat="1" ht="15.75" customHeight="1" x14ac:dyDescent="0.25">
      <c r="A8" s="201"/>
      <c r="B8" s="46">
        <v>1624000</v>
      </c>
      <c r="C8" s="35">
        <v>1074000</v>
      </c>
    </row>
    <row r="9" spans="1:5" s="28" customFormat="1" ht="15.75" customHeight="1" x14ac:dyDescent="0.25">
      <c r="A9" s="201"/>
      <c r="B9" s="46">
        <v>1628000</v>
      </c>
      <c r="C9" s="35">
        <f>ROUNDDOWN(ROUNDDOWN(入力!S32/4,-3)*2.4,0)+100000</f>
        <v>100000</v>
      </c>
    </row>
    <row r="10" spans="1:5" s="28" customFormat="1" ht="15.75" customHeight="1" x14ac:dyDescent="0.25">
      <c r="A10" s="201"/>
      <c r="B10" s="46">
        <v>1800000</v>
      </c>
      <c r="C10" s="35">
        <f>ROUNDDOWN(ROUNDDOWN(入力!S32/4,-3)*2.8,0)-80000</f>
        <v>-80000</v>
      </c>
    </row>
    <row r="11" spans="1:5" s="28" customFormat="1" ht="15.75" customHeight="1" x14ac:dyDescent="0.25">
      <c r="A11" s="201"/>
      <c r="B11" s="46">
        <v>3600000</v>
      </c>
      <c r="C11" s="35">
        <f>ROUNDDOWN(ROUNDDOWN(入力!S32/4,-3)*3.2,0)-440000</f>
        <v>-440000</v>
      </c>
    </row>
    <row r="12" spans="1:5" s="28" customFormat="1" ht="15.75" customHeight="1" x14ac:dyDescent="0.25">
      <c r="A12" s="201"/>
      <c r="B12" s="46">
        <v>6600000</v>
      </c>
      <c r="C12" s="35">
        <f>ROUNDDOWN(入力!S32*0.9,0)-1100000</f>
        <v>-1100000</v>
      </c>
    </row>
    <row r="13" spans="1:5" s="28" customFormat="1" ht="15.75" customHeight="1" x14ac:dyDescent="0.25">
      <c r="A13" s="205"/>
      <c r="B13" s="46">
        <v>8500000</v>
      </c>
      <c r="C13" s="35">
        <v>6550000</v>
      </c>
    </row>
    <row r="14" spans="1:5" s="28" customFormat="1" ht="15.75" customHeight="1" x14ac:dyDescent="0.25">
      <c r="A14" s="103"/>
      <c r="B14" s="46">
        <v>8500001</v>
      </c>
      <c r="C14" s="35">
        <f>入力!S32-1950000</f>
        <v>-1950000</v>
      </c>
    </row>
    <row r="16" spans="1:5" s="28" customFormat="1" ht="15.75" customHeight="1" x14ac:dyDescent="0.25">
      <c r="A16" s="201" t="s">
        <v>48</v>
      </c>
      <c r="B16" s="203" t="s">
        <v>128</v>
      </c>
      <c r="C16" s="204"/>
    </row>
    <row r="17" spans="1:5" s="28" customFormat="1" ht="15.75" customHeight="1" x14ac:dyDescent="0.25">
      <c r="A17" s="201"/>
      <c r="B17" s="45" t="s">
        <v>78</v>
      </c>
      <c r="C17" s="40" t="s">
        <v>79</v>
      </c>
    </row>
    <row r="18" spans="1:5" s="28" customFormat="1" ht="15.75" customHeight="1" x14ac:dyDescent="0.25">
      <c r="A18" s="201"/>
      <c r="B18" s="46">
        <v>0</v>
      </c>
      <c r="C18" s="35">
        <v>0</v>
      </c>
      <c r="E18" s="28" t="s">
        <v>76</v>
      </c>
    </row>
    <row r="19" spans="1:5" s="28" customFormat="1" ht="15.75" customHeight="1" x14ac:dyDescent="0.25">
      <c r="A19" s="201"/>
      <c r="B19" s="46">
        <v>551000</v>
      </c>
      <c r="C19" s="35">
        <f>入力!S37-550000</f>
        <v>-550000</v>
      </c>
    </row>
    <row r="20" spans="1:5" s="28" customFormat="1" ht="15.75" customHeight="1" x14ac:dyDescent="0.25">
      <c r="A20" s="201"/>
      <c r="B20" s="46">
        <v>1619000</v>
      </c>
      <c r="C20" s="35">
        <v>1069000</v>
      </c>
    </row>
    <row r="21" spans="1:5" s="28" customFormat="1" ht="15.75" customHeight="1" x14ac:dyDescent="0.25">
      <c r="A21" s="201"/>
      <c r="B21" s="46">
        <v>1620000</v>
      </c>
      <c r="C21" s="35">
        <v>1070000</v>
      </c>
    </row>
    <row r="22" spans="1:5" s="28" customFormat="1" ht="15.75" customHeight="1" x14ac:dyDescent="0.25">
      <c r="A22" s="201"/>
      <c r="B22" s="46">
        <v>1622000</v>
      </c>
      <c r="C22" s="35">
        <v>1072000</v>
      </c>
    </row>
    <row r="23" spans="1:5" s="28" customFormat="1" ht="15.75" customHeight="1" x14ac:dyDescent="0.25">
      <c r="A23" s="201"/>
      <c r="B23" s="46">
        <v>1624000</v>
      </c>
      <c r="C23" s="35">
        <v>1074000</v>
      </c>
    </row>
    <row r="24" spans="1:5" s="28" customFormat="1" ht="15.75" customHeight="1" x14ac:dyDescent="0.25">
      <c r="A24" s="201"/>
      <c r="B24" s="46">
        <v>1628000</v>
      </c>
      <c r="C24" s="35">
        <f>ROUNDDOWN(ROUNDDOWN(入力!S37/4,-3)*2.4,0)+100000</f>
        <v>100000</v>
      </c>
    </row>
    <row r="25" spans="1:5" s="28" customFormat="1" ht="15.75" customHeight="1" x14ac:dyDescent="0.25">
      <c r="A25" s="201"/>
      <c r="B25" s="46">
        <v>1800000</v>
      </c>
      <c r="C25" s="35">
        <f>ROUNDDOWN(ROUNDDOWN(入力!S37/4,-3)*2.8,0)-80000</f>
        <v>-80000</v>
      </c>
    </row>
    <row r="26" spans="1:5" s="28" customFormat="1" ht="15.75" customHeight="1" x14ac:dyDescent="0.25">
      <c r="A26" s="201"/>
      <c r="B26" s="46">
        <v>3600000</v>
      </c>
      <c r="C26" s="35">
        <f>ROUNDDOWN(ROUNDDOWN(入力!S37/4,-3)*3.2,0)-440000</f>
        <v>-440000</v>
      </c>
    </row>
    <row r="27" spans="1:5" s="28" customFormat="1" ht="15.75" customHeight="1" x14ac:dyDescent="0.25">
      <c r="A27" s="201"/>
      <c r="B27" s="46">
        <v>6600000</v>
      </c>
      <c r="C27" s="35">
        <f>ROUNDDOWN(入力!S37*0.9,0)-1100000</f>
        <v>-1100000</v>
      </c>
    </row>
    <row r="28" spans="1:5" s="28" customFormat="1" ht="15.75" customHeight="1" x14ac:dyDescent="0.25">
      <c r="A28" s="201"/>
      <c r="B28" s="46">
        <v>8500000</v>
      </c>
      <c r="C28" s="35">
        <v>6550000</v>
      </c>
    </row>
    <row r="29" spans="1:5" s="28" customFormat="1" ht="15.75" customHeight="1" x14ac:dyDescent="0.25">
      <c r="A29" s="201"/>
      <c r="B29" s="46">
        <v>8500001</v>
      </c>
      <c r="C29" s="35">
        <f>入力!S37-1950000</f>
        <v>-1950000</v>
      </c>
    </row>
    <row r="31" spans="1:5" s="28" customFormat="1" ht="15.75" customHeight="1" x14ac:dyDescent="0.25">
      <c r="A31" s="201" t="s">
        <v>49</v>
      </c>
      <c r="B31" s="203" t="s">
        <v>128</v>
      </c>
      <c r="C31" s="204"/>
      <c r="E31" s="28" t="s">
        <v>80</v>
      </c>
    </row>
    <row r="32" spans="1:5" s="28" customFormat="1" ht="15.75" customHeight="1" x14ac:dyDescent="0.25">
      <c r="A32" s="201"/>
      <c r="B32" s="45" t="s">
        <v>78</v>
      </c>
      <c r="C32" s="40" t="s">
        <v>79</v>
      </c>
    </row>
    <row r="33" spans="1:5" s="28" customFormat="1" ht="15.75" customHeight="1" x14ac:dyDescent="0.25">
      <c r="A33" s="201"/>
      <c r="B33" s="46">
        <v>0</v>
      </c>
      <c r="C33" s="35">
        <v>0</v>
      </c>
    </row>
    <row r="34" spans="1:5" s="28" customFormat="1" ht="15.75" customHeight="1" x14ac:dyDescent="0.25">
      <c r="A34" s="201"/>
      <c r="B34" s="46">
        <v>551000</v>
      </c>
      <c r="C34" s="35">
        <f>入力!S42-550000</f>
        <v>-550000</v>
      </c>
    </row>
    <row r="35" spans="1:5" s="28" customFormat="1" ht="15.75" customHeight="1" x14ac:dyDescent="0.25">
      <c r="A35" s="201"/>
      <c r="B35" s="46">
        <v>1619000</v>
      </c>
      <c r="C35" s="35">
        <v>1069000</v>
      </c>
    </row>
    <row r="36" spans="1:5" s="28" customFormat="1" ht="15.75" customHeight="1" x14ac:dyDescent="0.25">
      <c r="A36" s="201"/>
      <c r="B36" s="46">
        <v>1620000</v>
      </c>
      <c r="C36" s="35">
        <v>1070000</v>
      </c>
    </row>
    <row r="37" spans="1:5" s="28" customFormat="1" ht="15.75" customHeight="1" x14ac:dyDescent="0.25">
      <c r="A37" s="201"/>
      <c r="B37" s="46">
        <v>1622000</v>
      </c>
      <c r="C37" s="35">
        <v>1072000</v>
      </c>
    </row>
    <row r="38" spans="1:5" s="28" customFormat="1" ht="15.75" customHeight="1" x14ac:dyDescent="0.25">
      <c r="A38" s="201"/>
      <c r="B38" s="46">
        <v>1624000</v>
      </c>
      <c r="C38" s="35">
        <v>1074000</v>
      </c>
    </row>
    <row r="39" spans="1:5" s="28" customFormat="1" ht="15.75" customHeight="1" x14ac:dyDescent="0.25">
      <c r="A39" s="201"/>
      <c r="B39" s="46">
        <v>1628000</v>
      </c>
      <c r="C39" s="35">
        <f>ROUNDDOWN(ROUNDDOWN(入力!S42/4,-3)*2.4,0)+100000</f>
        <v>100000</v>
      </c>
    </row>
    <row r="40" spans="1:5" s="28" customFormat="1" ht="15.75" customHeight="1" x14ac:dyDescent="0.25">
      <c r="A40" s="201"/>
      <c r="B40" s="46">
        <v>1800000</v>
      </c>
      <c r="C40" s="35">
        <f>ROUNDDOWN(ROUNDDOWN(入力!S42/4,-3)*2.8,0)-80000</f>
        <v>-80000</v>
      </c>
    </row>
    <row r="41" spans="1:5" s="28" customFormat="1" ht="15.75" customHeight="1" x14ac:dyDescent="0.25">
      <c r="A41" s="201"/>
      <c r="B41" s="46">
        <v>3600000</v>
      </c>
      <c r="C41" s="35">
        <f>ROUNDDOWN(ROUNDDOWN(入力!S42/4,-3)*3.2,0)-440000</f>
        <v>-440000</v>
      </c>
    </row>
    <row r="42" spans="1:5" s="28" customFormat="1" ht="15.75" customHeight="1" x14ac:dyDescent="0.25">
      <c r="A42" s="201"/>
      <c r="B42" s="46">
        <v>6600000</v>
      </c>
      <c r="C42" s="35">
        <f>ROUNDDOWN(入力!S42*0.9,0)-1100000</f>
        <v>-1100000</v>
      </c>
    </row>
    <row r="43" spans="1:5" s="28" customFormat="1" ht="15.75" customHeight="1" x14ac:dyDescent="0.25">
      <c r="A43" s="201"/>
      <c r="B43" s="46">
        <v>8500000</v>
      </c>
      <c r="C43" s="35">
        <v>6550000</v>
      </c>
    </row>
    <row r="44" spans="1:5" s="28" customFormat="1" ht="15.75" customHeight="1" x14ac:dyDescent="0.25">
      <c r="A44" s="201"/>
      <c r="B44" s="46">
        <v>8500001</v>
      </c>
      <c r="C44" s="35">
        <f>入力!S42-1950000</f>
        <v>-1950000</v>
      </c>
    </row>
    <row r="46" spans="1:5" s="28" customFormat="1" ht="15.75" customHeight="1" x14ac:dyDescent="0.25">
      <c r="A46" s="201" t="s">
        <v>0</v>
      </c>
      <c r="B46" s="203" t="s">
        <v>128</v>
      </c>
      <c r="C46" s="204"/>
      <c r="E46" s="28" t="s">
        <v>81</v>
      </c>
    </row>
    <row r="47" spans="1:5" s="28" customFormat="1" ht="15.75" customHeight="1" x14ac:dyDescent="0.25">
      <c r="A47" s="201"/>
      <c r="B47" s="45" t="s">
        <v>78</v>
      </c>
      <c r="C47" s="40" t="s">
        <v>79</v>
      </c>
    </row>
    <row r="48" spans="1:5" s="28" customFormat="1" ht="15.75" customHeight="1" x14ac:dyDescent="0.25">
      <c r="A48" s="201"/>
      <c r="B48" s="46">
        <v>0</v>
      </c>
      <c r="C48" s="35">
        <v>0</v>
      </c>
    </row>
    <row r="49" spans="1:3" s="28" customFormat="1" ht="15.75" customHeight="1" x14ac:dyDescent="0.25">
      <c r="A49" s="201"/>
      <c r="B49" s="46">
        <v>551000</v>
      </c>
      <c r="C49" s="35">
        <f>入力!S47-550000</f>
        <v>-550000</v>
      </c>
    </row>
    <row r="50" spans="1:3" s="28" customFormat="1" ht="15.75" customHeight="1" x14ac:dyDescent="0.25">
      <c r="A50" s="201"/>
      <c r="B50" s="46">
        <v>1619000</v>
      </c>
      <c r="C50" s="35">
        <v>1069000</v>
      </c>
    </row>
    <row r="51" spans="1:3" s="28" customFormat="1" ht="15.75" customHeight="1" x14ac:dyDescent="0.25">
      <c r="A51" s="201"/>
      <c r="B51" s="46">
        <v>1620000</v>
      </c>
      <c r="C51" s="35">
        <v>1070000</v>
      </c>
    </row>
    <row r="52" spans="1:3" s="28" customFormat="1" ht="15.75" customHeight="1" x14ac:dyDescent="0.25">
      <c r="A52" s="201"/>
      <c r="B52" s="46">
        <v>1622000</v>
      </c>
      <c r="C52" s="35">
        <v>1072000</v>
      </c>
    </row>
    <row r="53" spans="1:3" s="28" customFormat="1" ht="15.75" customHeight="1" x14ac:dyDescent="0.25">
      <c r="A53" s="201"/>
      <c r="B53" s="46">
        <v>1624000</v>
      </c>
      <c r="C53" s="35">
        <v>1074000</v>
      </c>
    </row>
    <row r="54" spans="1:3" s="28" customFormat="1" ht="15.75" customHeight="1" x14ac:dyDescent="0.25">
      <c r="A54" s="201"/>
      <c r="B54" s="46">
        <v>1628000</v>
      </c>
      <c r="C54" s="35">
        <f>ROUNDDOWN(ROUNDDOWN(入力!S47/4,-3)*2.4,0)+100000</f>
        <v>100000</v>
      </c>
    </row>
    <row r="55" spans="1:3" s="28" customFormat="1" ht="15.75" customHeight="1" x14ac:dyDescent="0.25">
      <c r="A55" s="201"/>
      <c r="B55" s="46">
        <v>1800000</v>
      </c>
      <c r="C55" s="35">
        <f>ROUNDDOWN(ROUNDDOWN(入力!S47/4,-3)*2.8,0)-80000</f>
        <v>-80000</v>
      </c>
    </row>
    <row r="56" spans="1:3" s="28" customFormat="1" ht="15.75" customHeight="1" x14ac:dyDescent="0.25">
      <c r="A56" s="201"/>
      <c r="B56" s="46">
        <v>3600000</v>
      </c>
      <c r="C56" s="35">
        <f>ROUNDDOWN(ROUNDDOWN(入力!S47/4,-3)*3.2,0)-440000</f>
        <v>-440000</v>
      </c>
    </row>
    <row r="57" spans="1:3" s="28" customFormat="1" ht="15.75" customHeight="1" x14ac:dyDescent="0.25">
      <c r="A57" s="201"/>
      <c r="B57" s="46">
        <v>6600000</v>
      </c>
      <c r="C57" s="35">
        <f>ROUNDDOWN(入力!S47*0.9,0)-1100000</f>
        <v>-1100000</v>
      </c>
    </row>
    <row r="58" spans="1:3" s="28" customFormat="1" ht="15.75" customHeight="1" x14ac:dyDescent="0.25">
      <c r="A58" s="201"/>
      <c r="B58" s="46">
        <v>8500000</v>
      </c>
      <c r="C58" s="35">
        <v>6550000</v>
      </c>
    </row>
    <row r="59" spans="1:3" s="28" customFormat="1" ht="15.75" customHeight="1" x14ac:dyDescent="0.25">
      <c r="A59" s="201"/>
      <c r="B59" s="46">
        <v>8500001</v>
      </c>
      <c r="C59" s="35">
        <f>入力!S47-1950000</f>
        <v>-1950000</v>
      </c>
    </row>
  </sheetData>
  <mergeCells count="8">
    <mergeCell ref="A31:A44"/>
    <mergeCell ref="B31:C31"/>
    <mergeCell ref="A46:A59"/>
    <mergeCell ref="B46:C46"/>
    <mergeCell ref="A1:A13"/>
    <mergeCell ref="B1:C1"/>
    <mergeCell ref="A16:A29"/>
    <mergeCell ref="B16:C16"/>
  </mergeCells>
  <phoneticPr fontId="3"/>
  <pageMargins left="0.70866141732283472" right="0.70866141732283472" top="0.74803149606299213" bottom="0.74803149606299213" header="0.31496062992125984" footer="0.31496062992125984"/>
  <headerFooter>
    <oddHeader>&amp;C&amp;14&amp;A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66FFFF"/>
  </sheetPr>
  <dimension ref="A1:B14"/>
  <sheetViews>
    <sheetView zoomScaleNormal="100" workbookViewId="0">
      <selection activeCell="E11" sqref="E11"/>
    </sheetView>
  </sheetViews>
  <sheetFormatPr defaultRowHeight="14.25" x14ac:dyDescent="0.25"/>
  <cols>
    <col min="1" max="1" width="16.875" bestFit="1" customWidth="1"/>
  </cols>
  <sheetData>
    <row r="1" spans="1:2" s="28" customFormat="1" ht="15.75" customHeight="1" x14ac:dyDescent="0.25">
      <c r="A1" s="50" t="s">
        <v>28</v>
      </c>
      <c r="B1" s="40" t="s">
        <v>22</v>
      </c>
    </row>
    <row r="2" spans="1:2" s="28" customFormat="1" ht="15.75" customHeight="1" x14ac:dyDescent="0.25">
      <c r="A2" s="30" t="s">
        <v>114</v>
      </c>
      <c r="B2" s="24">
        <v>12</v>
      </c>
    </row>
    <row r="3" spans="1:2" s="28" customFormat="1" ht="15.75" customHeight="1" x14ac:dyDescent="0.25">
      <c r="A3" s="30" t="s">
        <v>115</v>
      </c>
      <c r="B3" s="24">
        <v>12</v>
      </c>
    </row>
    <row r="4" spans="1:2" s="28" customFormat="1" ht="15.75" customHeight="1" x14ac:dyDescent="0.25">
      <c r="A4" s="30" t="s">
        <v>116</v>
      </c>
      <c r="B4" s="24">
        <v>11</v>
      </c>
    </row>
    <row r="5" spans="1:2" s="28" customFormat="1" ht="15.75" customHeight="1" x14ac:dyDescent="0.25">
      <c r="A5" s="30" t="s">
        <v>117</v>
      </c>
      <c r="B5" s="24">
        <v>10</v>
      </c>
    </row>
    <row r="6" spans="1:2" s="28" customFormat="1" ht="15.75" customHeight="1" x14ac:dyDescent="0.25">
      <c r="A6" s="30" t="s">
        <v>118</v>
      </c>
      <c r="B6" s="24">
        <v>9</v>
      </c>
    </row>
    <row r="7" spans="1:2" s="28" customFormat="1" ht="15.75" customHeight="1" x14ac:dyDescent="0.25">
      <c r="A7" s="30" t="s">
        <v>119</v>
      </c>
      <c r="B7" s="24">
        <v>8</v>
      </c>
    </row>
    <row r="8" spans="1:2" s="28" customFormat="1" ht="15.75" customHeight="1" x14ac:dyDescent="0.25">
      <c r="A8" s="30" t="s">
        <v>120</v>
      </c>
      <c r="B8" s="24">
        <v>7</v>
      </c>
    </row>
    <row r="9" spans="1:2" s="28" customFormat="1" ht="15.75" customHeight="1" x14ac:dyDescent="0.25">
      <c r="A9" s="30" t="s">
        <v>121</v>
      </c>
      <c r="B9" s="24">
        <v>6</v>
      </c>
    </row>
    <row r="10" spans="1:2" s="28" customFormat="1" ht="15.75" customHeight="1" x14ac:dyDescent="0.25">
      <c r="A10" s="30" t="s">
        <v>122</v>
      </c>
      <c r="B10" s="24">
        <v>5</v>
      </c>
    </row>
    <row r="11" spans="1:2" s="28" customFormat="1" ht="15.75" customHeight="1" x14ac:dyDescent="0.25">
      <c r="A11" s="30" t="s">
        <v>123</v>
      </c>
      <c r="B11" s="24">
        <v>4</v>
      </c>
    </row>
    <row r="12" spans="1:2" s="28" customFormat="1" ht="15.75" customHeight="1" x14ac:dyDescent="0.25">
      <c r="A12" s="30" t="s">
        <v>124</v>
      </c>
      <c r="B12" s="24">
        <v>3</v>
      </c>
    </row>
    <row r="13" spans="1:2" s="28" customFormat="1" ht="15.75" customHeight="1" x14ac:dyDescent="0.25">
      <c r="A13" s="30" t="s">
        <v>125</v>
      </c>
      <c r="B13" s="24">
        <v>2</v>
      </c>
    </row>
    <row r="14" spans="1:2" s="28" customFormat="1" ht="15.75" customHeight="1" x14ac:dyDescent="0.25">
      <c r="A14" s="30" t="s">
        <v>126</v>
      </c>
      <c r="B14" s="24">
        <v>1</v>
      </c>
    </row>
  </sheetData>
  <phoneticPr fontId="3"/>
  <pageMargins left="0.70866141732283472" right="0.70866141732283472" top="0.74803149606299213" bottom="0.74803149606299213" header="0.31496062992125984" footer="0.31496062992125984"/>
  <headerFooter>
    <oddHeader>&amp;C&amp;14&amp;A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1">
    <tabColor rgb="FF66FFFF"/>
  </sheetPr>
  <dimension ref="A1:N21"/>
  <sheetViews>
    <sheetView topLeftCell="A8" zoomScaleNormal="100" workbookViewId="0">
      <selection activeCell="J3" sqref="J3"/>
    </sheetView>
  </sheetViews>
  <sheetFormatPr defaultRowHeight="14.25" x14ac:dyDescent="0.25"/>
  <cols>
    <col min="1" max="1" width="13.125" customWidth="1"/>
    <col min="2" max="2" width="14.5" bestFit="1" customWidth="1"/>
    <col min="3" max="3" width="13.625" bestFit="1" customWidth="1"/>
    <col min="4" max="4" width="9.875" customWidth="1"/>
    <col min="5" max="5" width="12.125" bestFit="1" customWidth="1"/>
    <col min="6" max="6" width="9.875" customWidth="1"/>
    <col min="7" max="7" width="12.125" bestFit="1" customWidth="1"/>
    <col min="8" max="8" width="9.875" customWidth="1"/>
    <col min="9" max="9" width="12.125" bestFit="1" customWidth="1"/>
    <col min="10" max="14" width="9.875" customWidth="1"/>
  </cols>
  <sheetData>
    <row r="1" spans="1:14" s="52" customFormat="1" ht="15.75" customHeight="1" x14ac:dyDescent="0.25">
      <c r="A1" s="52" t="s">
        <v>51</v>
      </c>
    </row>
    <row r="2" spans="1:14" s="52" customFormat="1" ht="31.5" customHeight="1" x14ac:dyDescent="0.25">
      <c r="A2" s="39"/>
      <c r="B2" s="58" t="s">
        <v>6</v>
      </c>
      <c r="C2" s="58" t="s">
        <v>7</v>
      </c>
      <c r="D2" s="58" t="s">
        <v>8</v>
      </c>
      <c r="E2" s="58" t="s">
        <v>10</v>
      </c>
      <c r="F2" s="58" t="s">
        <v>9</v>
      </c>
      <c r="G2" s="58" t="s">
        <v>50</v>
      </c>
      <c r="H2" s="59" t="s">
        <v>11</v>
      </c>
      <c r="I2" s="63" t="s">
        <v>12</v>
      </c>
      <c r="J2" s="58" t="s">
        <v>13</v>
      </c>
      <c r="K2" s="58" t="s">
        <v>21</v>
      </c>
      <c r="L2" s="58" t="s">
        <v>22</v>
      </c>
      <c r="M2" s="58" t="s">
        <v>23</v>
      </c>
      <c r="N2" s="58" t="s">
        <v>24</v>
      </c>
    </row>
    <row r="3" spans="1:14" s="52" customFormat="1" ht="15.75" customHeight="1" x14ac:dyDescent="0.25">
      <c r="A3" s="23" t="s">
        <v>37</v>
      </c>
      <c r="B3" s="53">
        <f>設定!D2+設定!E2+設定!F2-設定!G2</f>
        <v>0</v>
      </c>
      <c r="C3" s="53">
        <f>IF(B3&gt;25000000,B3,IF(B3&gt;24500000,B3-150000,IF(B3&gt;24000000,B3-290000,IF(B3-430000&lt;0,0,B3-430000))))</f>
        <v>0</v>
      </c>
      <c r="D3" s="120">
        <v>9.0300000000000005E-2</v>
      </c>
      <c r="E3" s="44">
        <f>IF(C3&lt;580001,ROUNDDOWN(C3*D3,-1),ROUNDDOWN(C3*D3,-1))</f>
        <v>0</v>
      </c>
      <c r="F3" s="60">
        <v>45930</v>
      </c>
      <c r="G3" s="55">
        <f>E3+F3</f>
        <v>45930</v>
      </c>
      <c r="H3" s="61">
        <v>800000</v>
      </c>
      <c r="I3" s="64">
        <f>IF(G3&gt;H3,G3-H3,0)</f>
        <v>0</v>
      </c>
      <c r="J3" s="90" t="str">
        <f>IF(D17="年齢選択エラー","年齢選択エラー",ROUNDUP(F3*$D$17,-1))</f>
        <v>年齢選択エラー</v>
      </c>
      <c r="K3" s="90" t="str">
        <f>IF(J3="年齢選択エラー","年齢選択エラー",G3-I3-J3)</f>
        <v>年齢選択エラー</v>
      </c>
      <c r="L3" s="90" t="str">
        <f>設定!C2</f>
        <v>資格取得月入力エラー</v>
      </c>
      <c r="M3" s="90" t="str">
        <f>IF(OR(L3="資格取得月入力エラー",ISBLANK(L3)),"資格取得月入力エラー",IF(K3="年齢選択エラー","年齢選択エラー",ROUNDUP(K3*(12-L3)/12,0)))</f>
        <v>資格取得月入力エラー</v>
      </c>
      <c r="N3" s="90" t="str">
        <f>IF(M3="資格取得月入力エラー","資格取得月入力エラー",IF(K3="年齢選択エラー","年齢選択エラー",ROUNDDOWN(K3-M3,-2)))</f>
        <v>資格取得月入力エラー</v>
      </c>
    </row>
    <row r="4" spans="1:14" s="52" customFormat="1" ht="15.75" customHeight="1" x14ac:dyDescent="0.25">
      <c r="C4" s="118"/>
      <c r="D4" s="121"/>
    </row>
    <row r="5" spans="1:14" s="52" customFormat="1" ht="15.75" customHeight="1" x14ac:dyDescent="0.25">
      <c r="A5" s="52" t="s">
        <v>25</v>
      </c>
    </row>
    <row r="6" spans="1:14" s="52" customFormat="1" ht="15.75" customHeight="1" x14ac:dyDescent="0.25">
      <c r="A6" s="39"/>
      <c r="B6" s="40" t="s">
        <v>26</v>
      </c>
    </row>
    <row r="7" spans="1:14" s="52" customFormat="1" ht="15.75" customHeight="1" x14ac:dyDescent="0.25">
      <c r="A7" s="23" t="s">
        <v>37</v>
      </c>
      <c r="B7" s="101" t="str">
        <f>設定!J2</f>
        <v>年齢選択エラー</v>
      </c>
    </row>
    <row r="8" spans="1:14" s="52" customFormat="1" ht="15.75" customHeight="1" x14ac:dyDescent="0.25">
      <c r="A8" s="23" t="s">
        <v>40</v>
      </c>
      <c r="B8" s="76">
        <f>設定!I5</f>
        <v>0</v>
      </c>
    </row>
    <row r="9" spans="1:14" s="52" customFormat="1" ht="15.75" customHeight="1" x14ac:dyDescent="0.25">
      <c r="A9" s="30" t="s">
        <v>41</v>
      </c>
      <c r="B9" s="76">
        <f>設定!I6</f>
        <v>0</v>
      </c>
    </row>
    <row r="10" spans="1:14" s="52" customFormat="1" ht="15.75" customHeight="1" x14ac:dyDescent="0.25">
      <c r="A10" s="57" t="s">
        <v>3</v>
      </c>
      <c r="B10" s="102">
        <f>設定!I9</f>
        <v>0</v>
      </c>
    </row>
    <row r="11" spans="1:14" s="52" customFormat="1" ht="15.75" customHeight="1" x14ac:dyDescent="0.25">
      <c r="A11" s="24" t="s">
        <v>19</v>
      </c>
      <c r="B11" s="89" t="str">
        <f>IF(OR(B7="年齢選択エラー",B8="年齢選択エラー",B9="年齢選択エラー",B10="年齢選択エラー"),"年齢選択エラー",SUM(B7:B10))</f>
        <v>年齢選択エラー</v>
      </c>
    </row>
    <row r="12" spans="1:14" s="52" customFormat="1" ht="15.75" customHeight="1" x14ac:dyDescent="0.25">
      <c r="A12" s="75"/>
      <c r="B12" s="74"/>
    </row>
    <row r="13" spans="1:14" ht="31.5" customHeight="1" x14ac:dyDescent="0.25">
      <c r="A13" s="62" t="s">
        <v>17</v>
      </c>
      <c r="B13" s="113" t="s">
        <v>97</v>
      </c>
    </row>
    <row r="14" spans="1:14" ht="16.5" x14ac:dyDescent="0.25">
      <c r="A14" s="77">
        <f>COUNTA(設定!B2)+SUM(設定!B5:B6)</f>
        <v>1</v>
      </c>
      <c r="B14" s="114" t="str">
        <f>IF(OR(設定!K2="年齢選択エラー",設定!J5="年齢選択エラー",設定!J6="年齢選択エラー",設定!J9="年齢選択エラー"),"年齢選択エラー",設定!K2+設定!J5+設定!J6+設定!J9)</f>
        <v>年齢選択エラー</v>
      </c>
    </row>
    <row r="15" spans="1:14" s="52" customFormat="1" ht="15.75" customHeight="1" x14ac:dyDescent="0.25"/>
    <row r="16" spans="1:14" s="52" customFormat="1" ht="15.75" customHeight="1" x14ac:dyDescent="0.25">
      <c r="A16" s="39"/>
      <c r="B16" s="40" t="s">
        <v>16</v>
      </c>
      <c r="C16" s="40" t="s">
        <v>18</v>
      </c>
      <c r="D16" s="40" t="s">
        <v>20</v>
      </c>
    </row>
    <row r="17" spans="1:4" s="52" customFormat="1" ht="15.75" customHeight="1" x14ac:dyDescent="0.25">
      <c r="A17" s="57" t="s">
        <v>52</v>
      </c>
      <c r="B17" s="56" t="str">
        <f>IF(B14="年齢選択エラー","年齢選択エラー",IF(B14=0,430000,430000+100000*(B14-1)))</f>
        <v>年齢選択エラー</v>
      </c>
      <c r="C17" s="88" t="str">
        <f>IF(B11="年齢選択エラー","年齢選択エラー",IF(B11&lt;=B17,"該当","非該当"))</f>
        <v>年齢選択エラー</v>
      </c>
      <c r="D17" s="206" t="str">
        <f>IF(B11="年齢選択エラー","年齢選択エラー",IF(C17="該当",0.7,IF(C18="該当",0.5,IF(C19="該当",0.2,0))))</f>
        <v>年齢選択エラー</v>
      </c>
    </row>
    <row r="18" spans="1:4" s="52" customFormat="1" ht="15.75" customHeight="1" x14ac:dyDescent="0.25">
      <c r="A18" s="57" t="s">
        <v>14</v>
      </c>
      <c r="B18" s="54" t="str">
        <f>IF(B14="年齢選択エラー","年齢選択エラー",IF(B14=0,430000+(305000*A14),430000+(305000*A14)+100000*(B14-1)))</f>
        <v>年齢選択エラー</v>
      </c>
      <c r="C18" s="88" t="str">
        <f>IF(B11="年齢選択エラー","年齢選択エラー",IF(C17="該当","",IF(B11&lt;=B18,"該当","非該当")))</f>
        <v>年齢選択エラー</v>
      </c>
      <c r="D18" s="207"/>
    </row>
    <row r="19" spans="1:4" s="52" customFormat="1" ht="15.75" customHeight="1" x14ac:dyDescent="0.25">
      <c r="A19" s="57" t="s">
        <v>15</v>
      </c>
      <c r="B19" s="54" t="str">
        <f>IF(B14="年齢選択エラー","年齢選択エラー",IF(B14=0,430000+(560000*A14),430000+(560000*A14)+100000*(B14-1)))</f>
        <v>年齢選択エラー</v>
      </c>
      <c r="C19" s="88" t="str">
        <f>IF(B11="年齢選択エラー","年齢選択エラー",IF(OR(C17="該当",C18="該当"),"",IF(B11&lt;=B19,"該当","非該当")))</f>
        <v>年齢選択エラー</v>
      </c>
      <c r="D19" s="208"/>
    </row>
    <row r="20" spans="1:4" s="52" customFormat="1" ht="15.75" customHeight="1" x14ac:dyDescent="0.25">
      <c r="A20"/>
      <c r="B20"/>
      <c r="C20"/>
      <c r="D20"/>
    </row>
    <row r="21" spans="1:4" x14ac:dyDescent="0.25">
      <c r="C21" s="4"/>
    </row>
  </sheetData>
  <mergeCells count="1">
    <mergeCell ref="D17:D19"/>
  </mergeCells>
  <phoneticPr fontId="3"/>
  <pageMargins left="0.31496062992125984" right="0.31496062992125984" top="0.74803149606299213" bottom="0.35433070866141736" header="0.31496062992125984" footer="0.31496062992125984"/>
  <headerFooter>
    <oddHeader>&amp;C&amp;14&amp;A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</vt:lpstr>
      <vt:lpstr>設定</vt:lpstr>
      <vt:lpstr>年金条件式</vt:lpstr>
      <vt:lpstr>給与所得</vt:lpstr>
      <vt:lpstr>資格取得月</vt:lpstr>
      <vt:lpstr>計算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末永　北斗</dc:creator>
  <cp:lastModifiedBy>大日方　鉄也</cp:lastModifiedBy>
  <cp:lastPrinted>2025-03-03T01:04:44Z</cp:lastPrinted>
  <dcterms:created xsi:type="dcterms:W3CDTF">2021-03-08T02:03:30Z</dcterms:created>
  <dcterms:modified xsi:type="dcterms:W3CDTF">2025-03-04T23:53:33Z</dcterms:modified>
</cp:coreProperties>
</file>